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13_ncr:1_{632CEDC6-5883-45D7-AFBD-A2ADED93C560}" xr6:coauthVersionLast="37" xr6:coauthVersionMax="37" xr10:uidLastSave="{00000000-0000-0000-0000-000000000000}"/>
  <bookViews>
    <workbookView xWindow="0" yWindow="0" windowWidth="23040" windowHeight="8484" activeTab="4" xr2:uid="{00000000-000D-0000-FFFF-FFFF00000000}"/>
  </bookViews>
  <sheets>
    <sheet name="OPĆI DIO" sheetId="12" r:id="rId1"/>
    <sheet name="List1" sheetId="34" r:id="rId2"/>
    <sheet name="Unos prihoda i primitaka" sheetId="4" r:id="rId3"/>
    <sheet name="Unos rashoda i izdataka" sheetId="17" r:id="rId4"/>
    <sheet name="Unos rashoda P4" sheetId="25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externalReferences>
    <externalReference r:id="rId15"/>
  </externalReferences>
  <definedNames>
    <definedName name="_FiltarBaze" localSheetId="6" hidden="1">'A.2 RASHODI'!#REF!</definedName>
    <definedName name="_xlnm._FilterDatabase" localSheetId="6" hidden="1">'A.2 RASHODI'!$A$39:$V$54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2" hidden="1">'Unos prihoda i primitaka'!$R$5:$V$119</definedName>
    <definedName name="_xlnm._FilterDatabase" localSheetId="3" hidden="1">'Unos rashoda i izdataka'!$A$2:$L$3</definedName>
    <definedName name="_xlnm._FilterDatabase" localSheetId="4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2">'Unos prihoda i primitaka'!$2:$2</definedName>
    <definedName name="_xlnm.Print_Titles" localSheetId="3">'Unos rashoda i izdataka'!$2:$2</definedName>
    <definedName name="_xlnm.Print_Titles" localSheetId="4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2">'Unos prihoda i primitaka'!$A$2:$I$3</definedName>
    <definedName name="_xlnm.Print_Area" localSheetId="3">'Unos rashoda i izdataka'!$A$2:$L$3</definedName>
    <definedName name="_xlnm.Print_Area" localSheetId="4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H63" i="17" l="1"/>
  <c r="I63" i="17"/>
  <c r="R63" i="17" s="1"/>
  <c r="F63" i="17"/>
  <c r="O63" i="17"/>
  <c r="P63" i="17"/>
  <c r="D63" i="17"/>
  <c r="Q63" i="17"/>
  <c r="F8" i="4" l="1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40" i="4" l="1"/>
  <c r="N156" i="17"/>
  <c r="N154" i="17"/>
  <c r="N153" i="17"/>
  <c r="N155" i="17" l="1"/>
  <c r="N157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T10" i="25" l="1"/>
  <c r="T14" i="25"/>
  <c r="T18" i="25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T9" i="25" s="1"/>
  <c r="AF242" i="25"/>
  <c r="AG242" i="25" s="1"/>
  <c r="AF243" i="25"/>
  <c r="AG243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T8" i="25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T19" i="25"/>
  <c r="T13" i="25"/>
  <c r="T7" i="25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T12" i="25"/>
  <c r="T6" i="25"/>
  <c r="G29" i="25"/>
  <c r="T29" i="25" s="1"/>
  <c r="G23" i="25"/>
  <c r="T23" i="25" s="1"/>
  <c r="T17" i="25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T16" i="25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R104" i="17"/>
  <c r="R105" i="17"/>
  <c r="R106" i="17"/>
  <c r="R107" i="17"/>
  <c r="R108" i="17"/>
  <c r="R109" i="17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2" i="17"/>
  <c r="R12" i="17" s="1"/>
  <c r="I13" i="17"/>
  <c r="R13" i="17" s="1"/>
  <c r="I14" i="17"/>
  <c r="R14" i="17" s="1"/>
  <c r="I15" i="17"/>
  <c r="R15" i="17" s="1"/>
  <c r="I16" i="17"/>
  <c r="R16" i="17" s="1"/>
  <c r="I3" i="17"/>
  <c r="R3" i="17" s="1"/>
  <c r="H4" i="17"/>
  <c r="H5" i="17"/>
  <c r="H6" i="17"/>
  <c r="H7" i="17"/>
  <c r="H8" i="17"/>
  <c r="H9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20" i="25" l="1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B107" i="4"/>
  <c r="A107" i="4"/>
  <c r="F106" i="4"/>
  <c r="D106" i="4"/>
  <c r="B106" i="4"/>
  <c r="A106" i="4"/>
  <c r="F105" i="4"/>
  <c r="D105" i="4"/>
  <c r="B105" i="4"/>
  <c r="A105" i="4"/>
  <c r="F104" i="4"/>
  <c r="D104" i="4"/>
  <c r="B104" i="4"/>
  <c r="A104" i="4"/>
  <c r="F103" i="4"/>
  <c r="D103" i="4"/>
  <c r="B103" i="4"/>
  <c r="A103" i="4"/>
  <c r="F102" i="4"/>
  <c r="D102" i="4"/>
  <c r="B102" i="4"/>
  <c r="A102" i="4"/>
  <c r="F101" i="4"/>
  <c r="D101" i="4"/>
  <c r="B101" i="4"/>
  <c r="A101" i="4"/>
  <c r="F100" i="4"/>
  <c r="D100" i="4"/>
  <c r="B100" i="4"/>
  <c r="A100" i="4"/>
  <c r="F99" i="4"/>
  <c r="D99" i="4"/>
  <c r="B99" i="4"/>
  <c r="A99" i="4"/>
  <c r="F98" i="4"/>
  <c r="D98" i="4"/>
  <c r="B98" i="4"/>
  <c r="A98" i="4"/>
  <c r="F97" i="4"/>
  <c r="D97" i="4"/>
  <c r="B97" i="4"/>
  <c r="A97" i="4"/>
  <c r="F96" i="4"/>
  <c r="D96" i="4"/>
  <c r="B96" i="4"/>
  <c r="A96" i="4"/>
  <c r="F95" i="4"/>
  <c r="D95" i="4"/>
  <c r="B95" i="4"/>
  <c r="A95" i="4"/>
  <c r="F94" i="4"/>
  <c r="D94" i="4"/>
  <c r="B94" i="4"/>
  <c r="A94" i="4"/>
  <c r="F93" i="4"/>
  <c r="D93" i="4"/>
  <c r="B93" i="4"/>
  <c r="A93" i="4"/>
  <c r="F92" i="4"/>
  <c r="D92" i="4"/>
  <c r="B92" i="4"/>
  <c r="A92" i="4"/>
  <c r="F91" i="4"/>
  <c r="D91" i="4"/>
  <c r="B91" i="4"/>
  <c r="A91" i="4"/>
  <c r="F90" i="4"/>
  <c r="D90" i="4"/>
  <c r="B90" i="4"/>
  <c r="A90" i="4"/>
  <c r="F89" i="4"/>
  <c r="D89" i="4"/>
  <c r="B89" i="4"/>
  <c r="A89" i="4"/>
  <c r="F88" i="4"/>
  <c r="D88" i="4"/>
  <c r="B88" i="4"/>
  <c r="A88" i="4"/>
  <c r="F87" i="4"/>
  <c r="D87" i="4"/>
  <c r="B87" i="4"/>
  <c r="A87" i="4"/>
  <c r="F86" i="4"/>
  <c r="D86" i="4"/>
  <c r="B86" i="4"/>
  <c r="A86" i="4"/>
  <c r="F85" i="4"/>
  <c r="D85" i="4"/>
  <c r="B85" i="4"/>
  <c r="A85" i="4"/>
  <c r="F84" i="4"/>
  <c r="D84" i="4"/>
  <c r="B84" i="4"/>
  <c r="A84" i="4"/>
  <c r="F83" i="4"/>
  <c r="D83" i="4"/>
  <c r="B83" i="4"/>
  <c r="A83" i="4"/>
  <c r="F82" i="4"/>
  <c r="D82" i="4"/>
  <c r="B82" i="4"/>
  <c r="A82" i="4"/>
  <c r="F81" i="4"/>
  <c r="D81" i="4"/>
  <c r="B81" i="4"/>
  <c r="A81" i="4"/>
  <c r="F80" i="4"/>
  <c r="D80" i="4"/>
  <c r="B80" i="4"/>
  <c r="A80" i="4"/>
  <c r="F79" i="4"/>
  <c r="D79" i="4"/>
  <c r="B79" i="4"/>
  <c r="A79" i="4"/>
  <c r="F78" i="4"/>
  <c r="D78" i="4"/>
  <c r="B78" i="4"/>
  <c r="A78" i="4"/>
  <c r="F77" i="4"/>
  <c r="D77" i="4"/>
  <c r="B77" i="4"/>
  <c r="A77" i="4"/>
  <c r="F76" i="4"/>
  <c r="D76" i="4"/>
  <c r="B76" i="4"/>
  <c r="A76" i="4"/>
  <c r="F75" i="4"/>
  <c r="D75" i="4"/>
  <c r="B75" i="4"/>
  <c r="A75" i="4"/>
  <c r="F74" i="4"/>
  <c r="D74" i="4"/>
  <c r="B74" i="4"/>
  <c r="A74" i="4"/>
  <c r="F73" i="4"/>
  <c r="D73" i="4"/>
  <c r="B73" i="4"/>
  <c r="A73" i="4"/>
  <c r="F72" i="4"/>
  <c r="D72" i="4"/>
  <c r="B72" i="4"/>
  <c r="A72" i="4"/>
  <c r="F71" i="4"/>
  <c r="D71" i="4"/>
  <c r="B71" i="4"/>
  <c r="A71" i="4"/>
  <c r="F70" i="4"/>
  <c r="D70" i="4"/>
  <c r="B70" i="4"/>
  <c r="A70" i="4"/>
  <c r="F69" i="4"/>
  <c r="D69" i="4"/>
  <c r="B69" i="4"/>
  <c r="A69" i="4"/>
  <c r="F68" i="4"/>
  <c r="D68" i="4"/>
  <c r="B68" i="4"/>
  <c r="A68" i="4"/>
  <c r="F67" i="4"/>
  <c r="D67" i="4"/>
  <c r="B67" i="4"/>
  <c r="A67" i="4"/>
  <c r="F66" i="4"/>
  <c r="D66" i="4"/>
  <c r="B66" i="4"/>
  <c r="A66" i="4"/>
  <c r="F65" i="4"/>
  <c r="D65" i="4"/>
  <c r="B65" i="4"/>
  <c r="A65" i="4"/>
  <c r="F64" i="4"/>
  <c r="D64" i="4"/>
  <c r="B64" i="4"/>
  <c r="A64" i="4"/>
  <c r="F63" i="4"/>
  <c r="D63" i="4"/>
  <c r="B63" i="4"/>
  <c r="A63" i="4"/>
  <c r="F62" i="4"/>
  <c r="D62" i="4"/>
  <c r="B62" i="4"/>
  <c r="A62" i="4"/>
  <c r="F61" i="4"/>
  <c r="D61" i="4"/>
  <c r="B61" i="4"/>
  <c r="A61" i="4"/>
  <c r="F60" i="4"/>
  <c r="D60" i="4"/>
  <c r="B60" i="4"/>
  <c r="A60" i="4"/>
  <c r="F59" i="4"/>
  <c r="D59" i="4"/>
  <c r="B59" i="4"/>
  <c r="A59" i="4"/>
  <c r="F58" i="4"/>
  <c r="D58" i="4"/>
  <c r="B58" i="4"/>
  <c r="A58" i="4"/>
  <c r="F57" i="4"/>
  <c r="D57" i="4"/>
  <c r="B57" i="4"/>
  <c r="A57" i="4"/>
  <c r="F56" i="4"/>
  <c r="D56" i="4"/>
  <c r="B56" i="4"/>
  <c r="A56" i="4"/>
  <c r="F55" i="4"/>
  <c r="D55" i="4"/>
  <c r="B55" i="4"/>
  <c r="A55" i="4"/>
  <c r="F54" i="4"/>
  <c r="D54" i="4"/>
  <c r="B54" i="4"/>
  <c r="A54" i="4"/>
  <c r="F53" i="4"/>
  <c r="D53" i="4"/>
  <c r="B53" i="4"/>
  <c r="A53" i="4"/>
  <c r="F52" i="4"/>
  <c r="D52" i="4"/>
  <c r="B52" i="4"/>
  <c r="A52" i="4"/>
  <c r="F51" i="4"/>
  <c r="D51" i="4"/>
  <c r="B51" i="4"/>
  <c r="A51" i="4"/>
  <c r="F50" i="4"/>
  <c r="D50" i="4"/>
  <c r="B50" i="4"/>
  <c r="A50" i="4"/>
  <c r="F49" i="4"/>
  <c r="D49" i="4"/>
  <c r="B49" i="4"/>
  <c r="A49" i="4"/>
  <c r="F48" i="4"/>
  <c r="D48" i="4"/>
  <c r="B48" i="4"/>
  <c r="A48" i="4"/>
  <c r="F47" i="4"/>
  <c r="D47" i="4"/>
  <c r="B47" i="4"/>
  <c r="A47" i="4"/>
  <c r="F46" i="4"/>
  <c r="D46" i="4"/>
  <c r="B46" i="4"/>
  <c r="A46" i="4"/>
  <c r="F45" i="4"/>
  <c r="D45" i="4"/>
  <c r="B45" i="4"/>
  <c r="A45" i="4"/>
  <c r="F44" i="4"/>
  <c r="D44" i="4"/>
  <c r="B44" i="4"/>
  <c r="A44" i="4"/>
  <c r="F43" i="4"/>
  <c r="D43" i="4"/>
  <c r="B43" i="4"/>
  <c r="A43" i="4"/>
  <c r="F42" i="4"/>
  <c r="D42" i="4"/>
  <c r="B42" i="4"/>
  <c r="A42" i="4"/>
  <c r="F41" i="4"/>
  <c r="D41" i="4"/>
  <c r="B41" i="4"/>
  <c r="A41" i="4"/>
  <c r="F40" i="4"/>
  <c r="D40" i="4"/>
  <c r="B40" i="4"/>
  <c r="A40" i="4"/>
  <c r="F39" i="4"/>
  <c r="D39" i="4"/>
  <c r="B39" i="4"/>
  <c r="A39" i="4"/>
  <c r="F38" i="4"/>
  <c r="D38" i="4"/>
  <c r="B38" i="4"/>
  <c r="A38" i="4"/>
  <c r="F37" i="4"/>
  <c r="D37" i="4"/>
  <c r="B37" i="4"/>
  <c r="A37" i="4"/>
  <c r="F36" i="4"/>
  <c r="D36" i="4"/>
  <c r="B36" i="4"/>
  <c r="A36" i="4"/>
  <c r="F35" i="4"/>
  <c r="D35" i="4"/>
  <c r="B35" i="4"/>
  <c r="A35" i="4"/>
  <c r="F34" i="4"/>
  <c r="D34" i="4"/>
  <c r="B34" i="4"/>
  <c r="A34" i="4"/>
  <c r="F33" i="4"/>
  <c r="D33" i="4"/>
  <c r="B33" i="4"/>
  <c r="A33" i="4"/>
  <c r="F32" i="4"/>
  <c r="D32" i="4"/>
  <c r="B32" i="4"/>
  <c r="A32" i="4"/>
  <c r="F31" i="4"/>
  <c r="D31" i="4"/>
  <c r="B31" i="4"/>
  <c r="A31" i="4"/>
  <c r="F30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F23" i="4"/>
  <c r="D23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F18" i="4"/>
  <c r="D18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B12" i="4"/>
  <c r="A12" i="4"/>
  <c r="B11" i="4"/>
  <c r="A11" i="4"/>
  <c r="B10" i="4"/>
  <c r="A10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5" i="25"/>
  <c r="B5" i="25"/>
  <c r="D4" i="25"/>
  <c r="B4" i="25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A109" i="17"/>
  <c r="A108" i="17"/>
  <c r="A107" i="17"/>
  <c r="A106" i="17"/>
  <c r="A105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6" i="17"/>
  <c r="Z86" i="17"/>
  <c r="Y85" i="17"/>
  <c r="Z85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2" i="17"/>
  <c r="Z12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4" i="17"/>
  <c r="Y8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Y131" i="17"/>
  <c r="Z131" i="17"/>
  <c r="Y132" i="17"/>
  <c r="Z132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D6" i="14" s="1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Y9" i="17"/>
  <c r="Y14" i="17"/>
  <c r="Y29" i="17"/>
  <c r="Y39" i="17"/>
  <c r="Y75" i="17"/>
  <c r="Y41" i="17"/>
  <c r="Y94" i="17"/>
  <c r="Y35" i="17"/>
  <c r="Y13" i="17"/>
  <c r="Y20" i="17"/>
  <c r="Y30" i="17"/>
  <c r="Y77" i="17"/>
  <c r="Y97" i="17"/>
  <c r="Y15" i="17"/>
  <c r="Y17" i="17"/>
  <c r="Y32" i="17"/>
  <c r="Y33" i="17"/>
  <c r="Y36" i="17"/>
  <c r="Y38" i="17"/>
  <c r="Y46" i="17"/>
  <c r="Y47" i="17"/>
  <c r="Y58" i="17"/>
  <c r="Y98" i="17"/>
  <c r="Y100" i="17"/>
  <c r="Y106" i="17"/>
  <c r="Y18" i="17"/>
  <c r="Y19" i="17"/>
  <c r="Y21" i="17"/>
  <c r="Y24" i="17"/>
  <c r="Y25" i="17"/>
  <c r="Y26" i="17"/>
  <c r="Y31" i="17"/>
  <c r="Y60" i="17"/>
  <c r="Y65" i="17"/>
  <c r="Y72" i="17"/>
  <c r="Y74" i="17"/>
  <c r="Y101" i="17"/>
  <c r="Y111" i="17"/>
  <c r="Y27" i="17"/>
  <c r="Y28" i="17"/>
  <c r="Y23" i="17"/>
  <c r="Y54" i="17"/>
  <c r="Y99" i="17"/>
  <c r="Y113" i="17"/>
  <c r="Y116" i="17"/>
  <c r="Y67" i="17"/>
  <c r="Y7" i="17"/>
  <c r="Y16" i="17"/>
  <c r="Y71" i="17"/>
  <c r="Y90" i="17"/>
  <c r="Y103" i="17"/>
  <c r="Y37" i="17"/>
  <c r="Y53" i="17"/>
  <c r="Y62" i="17"/>
  <c r="Y91" i="17"/>
  <c r="Y114" i="17"/>
  <c r="Y119" i="17"/>
  <c r="Y34" i="17"/>
  <c r="Y48" i="17"/>
  <c r="Y55" i="17"/>
  <c r="Y49" i="17"/>
  <c r="Y107" i="17"/>
  <c r="Y117" i="17"/>
  <c r="Y68" i="17"/>
  <c r="Y6" i="17"/>
  <c r="Y8" i="17"/>
  <c r="Y40" i="17"/>
  <c r="Y43" i="17"/>
  <c r="Y44" i="17"/>
  <c r="Y73" i="17"/>
  <c r="Y76" i="17"/>
  <c r="Y79" i="17"/>
  <c r="Y80" i="17"/>
  <c r="Y81" i="17"/>
  <c r="Y82" i="17"/>
  <c r="Y83" i="17"/>
  <c r="Y87" i="17"/>
  <c r="Y89" i="17"/>
  <c r="Y92" i="17"/>
  <c r="Y95" i="17"/>
  <c r="Y96" i="17"/>
  <c r="Y102" i="17"/>
  <c r="Y104" i="17"/>
  <c r="Y109" i="17"/>
  <c r="Y110" i="17"/>
  <c r="Y112" i="17"/>
  <c r="Y115" i="17"/>
  <c r="Y121" i="17"/>
  <c r="Y69" i="17"/>
  <c r="Y78" i="17"/>
  <c r="Y105" i="17"/>
  <c r="Y108" i="17"/>
  <c r="Y93" i="17"/>
  <c r="Y22" i="17"/>
  <c r="Y64" i="17"/>
  <c r="Y56" i="17"/>
  <c r="Y50" i="17"/>
  <c r="Y51" i="17"/>
  <c r="Y59" i="17"/>
  <c r="Y61" i="17"/>
  <c r="Y118" i="17"/>
  <c r="Y42" i="17"/>
  <c r="Y45" i="17"/>
  <c r="Y70" i="17"/>
  <c r="Y88" i="17"/>
  <c r="Y120" i="17"/>
  <c r="Y52" i="17"/>
  <c r="Y57" i="17"/>
  <c r="Y66" i="17"/>
  <c r="Y5" i="17"/>
  <c r="C17" i="12" l="1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C11" i="31"/>
  <c r="C28" i="12" s="1"/>
  <c r="C33" i="3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C29" i="32"/>
  <c r="C28" i="32" s="1"/>
  <c r="E9" i="32"/>
  <c r="C23" i="32"/>
  <c r="C9" i="32"/>
  <c r="E6" i="32"/>
  <c r="E24" i="32"/>
  <c r="E13" i="32"/>
  <c r="E11" i="32" s="1"/>
  <c r="E23" i="32"/>
  <c r="D23" i="32"/>
  <c r="D40" i="14"/>
  <c r="S40" i="14"/>
  <c r="M40" i="14"/>
  <c r="H40" i="14"/>
  <c r="E40" i="14"/>
  <c r="J40" i="14" l="1"/>
  <c r="U40" i="14"/>
  <c r="D29" i="32" s="1"/>
  <c r="D28" i="32" s="1"/>
  <c r="D13" i="32"/>
  <c r="D11" i="32" s="1"/>
  <c r="D8" i="32"/>
  <c r="D26" i="32"/>
  <c r="D19" i="32"/>
  <c r="C14" i="32"/>
  <c r="C5" i="32" s="1"/>
  <c r="F40" i="14"/>
  <c r="L40" i="14"/>
  <c r="T40" i="14"/>
  <c r="I40" i="14"/>
  <c r="N40" i="14"/>
  <c r="V40" i="14"/>
  <c r="C58" i="14"/>
  <c r="C74" i="14"/>
  <c r="C41" i="14"/>
  <c r="C49" i="14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<sst xmlns="http://schemas.openxmlformats.org/spreadsheetml/2006/main" count="13777" uniqueCount="5282">
  <si>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</si>
  <si>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</si>
  <si>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</si>
  <si>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</si>
  <si>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</si>
  <si>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</si>
  <si>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</si>
  <si>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</si>
  <si>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</si>
  <si>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</si>
  <si>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</si>
  <si>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</si>
  <si>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</si>
  <si>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</si>
  <si>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</si>
  <si>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</si>
  <si>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</si>
  <si>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</si>
  <si>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</si>
  <si>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</si>
  <si>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</si>
  <si>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</si>
  <si>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</si>
  <si>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</si>
  <si>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</si>
  <si>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</si>
  <si>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</si>
  <si>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</si>
  <si>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</si>
  <si>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</si>
  <si>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</si>
  <si>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</si>
  <si>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</si>
  <si>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</si>
  <si>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</si>
  <si>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</si>
  <si>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</si>
  <si>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</si>
  <si>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</si>
  <si>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</si>
  <si>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</si>
  <si>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</si>
  <si>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</si>
  <si>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</si>
  <si>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</si>
  <si>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</si>
  <si>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</si>
  <si>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</si>
  <si>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</si>
  <si>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</si>
  <si>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</si>
  <si>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</si>
  <si>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</si>
  <si>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</si>
  <si>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</si>
  <si>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</si>
  <si>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</si>
  <si>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</si>
  <si>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</si>
  <si>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</si>
  <si>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</si>
  <si>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</si>
  <si>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</si>
  <si>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</si>
  <si>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</si>
  <si>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</si>
  <si>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</si>
  <si>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</si>
  <si>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</si>
  <si>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</si>
  <si>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</si>
  <si>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</si>
  <si>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</si>
  <si>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</si>
  <si>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</si>
  <si>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</si>
  <si>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</si>
  <si>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</si>
  <si>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</si>
  <si>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</si>
  <si>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</si>
  <si>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</si>
  <si>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</si>
  <si>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</si>
  <si>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</si>
  <si>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</si>
  <si>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</si>
  <si>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</si>
  <si>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</si>
  <si>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</si>
  <si>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</si>
  <si>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</si>
  <si>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</si>
  <si>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</si>
  <si>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</si>
  <si>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</si>
  <si>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</si>
  <si>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</si>
  <si>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</si>
  <si>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</si>
  <si>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</si>
  <si>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</si>
  <si>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</si>
  <si>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</si>
  <si>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</si>
  <si>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</si>
  <si>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</si>
  <si>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</si>
  <si>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</si>
  <si>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</si>
  <si>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</si>
  <si>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</si>
  <si>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</si>
  <si>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</si>
  <si>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</si>
  <si>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</si>
  <si>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</si>
  <si>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</si>
  <si>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</si>
  <si>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</si>
  <si>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</si>
  <si>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</si>
  <si>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</si>
  <si>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</si>
  <si>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</si>
  <si>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</si>
  <si>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</si>
  <si>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</si>
  <si>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</si>
  <si>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</si>
  <si>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</si>
  <si>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</si>
  <si>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</si>
  <si>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</si>
  <si>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</si>
  <si>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</si>
  <si>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</si>
  <si>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</si>
  <si>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</si>
  <si>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</si>
  <si>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</si>
  <si>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</si>
  <si>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</si>
  <si>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</si>
  <si>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</si>
  <si>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</si>
  <si>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</si>
  <si>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</si>
  <si>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</si>
  <si>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</si>
  <si>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</si>
  <si>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</si>
  <si>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</si>
  <si>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</si>
  <si>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</si>
  <si>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</si>
  <si>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</si>
  <si>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</si>
  <si>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</si>
  <si>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</si>
  <si>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</si>
  <si>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</si>
  <si>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</si>
  <si>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</si>
  <si>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</si>
  <si>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</si>
  <si>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</si>
  <si>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</si>
  <si>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</si>
  <si>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</si>
  <si>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</si>
  <si>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</si>
  <si>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</si>
  <si>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</si>
  <si>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</si>
  <si>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</si>
  <si>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</si>
  <si>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</si>
  <si>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</si>
  <si>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</si>
  <si>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</si>
  <si>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</si>
  <si>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</si>
  <si>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</si>
  <si>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</si>
  <si>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</si>
  <si>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</si>
  <si>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</si>
  <si>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</si>
  <si>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</si>
  <si>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</si>
  <si>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</si>
  <si>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</si>
  <si>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</si>
  <si>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</si>
  <si>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</si>
  <si>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</si>
  <si>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</si>
  <si>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</si>
  <si>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</si>
  <si>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</si>
  <si>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</si>
  <si>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</si>
  <si>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</si>
  <si>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</si>
  <si>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</si>
  <si>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</si>
  <si>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</si>
  <si>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</si>
  <si>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</si>
  <si>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</si>
  <si>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</si>
  <si>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</si>
  <si>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</si>
  <si>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</si>
  <si>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</si>
  <si>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</si>
  <si>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</si>
  <si>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</si>
  <si>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</si>
  <si>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</si>
  <si>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</si>
  <si>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</si>
  <si>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</si>
  <si>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</si>
  <si>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</si>
  <si>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</si>
  <si>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</si>
  <si>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</si>
  <si>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</si>
  <si>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</si>
  <si>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</si>
  <si>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</si>
  <si>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</si>
  <si>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</si>
  <si>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</si>
  <si>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</si>
  <si>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</si>
  <si>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</si>
  <si>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</si>
  <si>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</si>
  <si>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</si>
  <si>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</si>
  <si>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</si>
  <si>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</si>
  <si>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</si>
  <si>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</si>
  <si>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</si>
  <si>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</si>
  <si>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</si>
  <si>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</si>
  <si>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</si>
  <si>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</si>
  <si>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</si>
  <si>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</si>
  <si>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</si>
  <si>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</si>
  <si>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</si>
  <si>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</si>
  <si>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</si>
  <si>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</si>
  <si>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</si>
  <si>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</si>
  <si>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</si>
  <si>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</si>
  <si>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</si>
  <si>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</si>
  <si>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</si>
  <si>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</si>
  <si>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</si>
  <si>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</si>
  <si>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</si>
  <si>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</si>
  <si>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</si>
  <si>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</si>
  <si>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</si>
  <si>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</si>
  <si>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</si>
  <si>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</si>
  <si>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</si>
  <si>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</si>
  <si>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</si>
  <si>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</si>
  <si>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</si>
  <si>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</si>
  <si>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</si>
  <si>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</si>
  <si>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</si>
  <si>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</si>
  <si>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</si>
  <si>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</si>
  <si>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</si>
  <si>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</si>
  <si>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</si>
  <si>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</si>
  <si>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</si>
  <si>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</si>
  <si>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</si>
  <si>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</si>
  <si>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</si>
  <si>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</si>
  <si>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</si>
  <si>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</si>
  <si>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</si>
  <si>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</si>
  <si>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</si>
  <si>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</si>
  <si>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</si>
  <si>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</si>
  <si>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</si>
  <si>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</si>
  <si>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</si>
  <si>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</si>
  <si>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</si>
  <si>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</si>
  <si>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</si>
  <si>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</si>
  <si>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</si>
  <si>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</si>
  <si>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</si>
  <si>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</si>
  <si>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</si>
  <si>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</si>
  <si>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</si>
  <si>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</si>
  <si>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</si>
  <si>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</si>
  <si>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</si>
  <si>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</si>
  <si>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</si>
  <si>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</si>
  <si>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</si>
  <si>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</si>
  <si>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</si>
  <si>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</si>
  <si>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</si>
  <si>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</si>
  <si>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</si>
  <si>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</si>
  <si>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</si>
  <si>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</si>
  <si>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</si>
  <si>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</si>
  <si>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</si>
  <si>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</si>
  <si>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</si>
  <si>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</si>
  <si>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</si>
  <si>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</si>
  <si>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</si>
  <si>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</si>
  <si>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</si>
  <si>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</si>
  <si>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</si>
  <si>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</si>
  <si>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</si>
  <si>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</si>
  <si>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</si>
  <si>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</si>
  <si>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</si>
  <si>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</si>
  <si>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</si>
  <si>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</si>
  <si>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</si>
  <si>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</si>
  <si>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</si>
  <si>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</si>
  <si>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</si>
  <si>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</si>
  <si>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</si>
  <si>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</si>
  <si>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</si>
  <si>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</si>
  <si>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</si>
  <si>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</si>
  <si>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</si>
  <si>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</si>
  <si>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</si>
  <si>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</si>
  <si>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</si>
  <si>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</si>
  <si>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</si>
  <si>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</si>
  <si>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</si>
  <si>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</si>
  <si>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</si>
  <si>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</si>
  <si>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</si>
  <si>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</si>
  <si>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</si>
  <si>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</si>
  <si>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</si>
  <si>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</si>
  <si>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</si>
  <si>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</si>
  <si>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</si>
  <si>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</si>
  <si>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</si>
  <si>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</si>
  <si>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</si>
  <si>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</si>
  <si>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</si>
  <si>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</si>
  <si>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</si>
  <si>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</si>
  <si>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</si>
  <si>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</si>
  <si>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</si>
  <si>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</si>
  <si>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</si>
  <si>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</si>
  <si>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</si>
  <si>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</si>
  <si>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</si>
  <si>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</si>
  <si>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</si>
  <si>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</si>
  <si>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</si>
  <si>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</si>
  <si>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</si>
  <si>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</si>
  <si>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</si>
  <si>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</si>
  <si>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</si>
  <si>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</si>
  <si>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</si>
  <si>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</si>
  <si>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</si>
  <si>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</si>
  <si>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</si>
  <si>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</si>
  <si>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</si>
  <si>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</si>
  <si>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</si>
  <si>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</si>
  <si>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</si>
  <si>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</si>
  <si>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</si>
  <si>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</si>
  <si>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</si>
  <si>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</si>
  <si>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</si>
  <si>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</si>
  <si>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</si>
  <si>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</si>
  <si>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</si>
  <si>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</si>
  <si>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</si>
  <si>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</si>
  <si>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</si>
  <si>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</si>
  <si>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</si>
  <si>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</si>
  <si>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</si>
  <si>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</si>
  <si>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</si>
  <si>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</si>
  <si>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</si>
  <si>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</si>
  <si>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</si>
  <si>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</si>
  <si>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</si>
  <si>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</si>
  <si>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</si>
  <si>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</si>
  <si>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</si>
  <si>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</si>
  <si>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</si>
  <si>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</si>
  <si>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</si>
  <si>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</si>
  <si>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</si>
  <si>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</si>
  <si>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</si>
  <si>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</si>
  <si>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</si>
  <si>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</si>
  <si>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</si>
  <si>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</si>
  <si>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</si>
  <si>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</si>
  <si>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</si>
  <si>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</si>
  <si>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</si>
  <si>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</si>
  <si>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</si>
  <si>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</si>
  <si>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</si>
  <si>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</si>
  <si>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</si>
  <si>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</si>
  <si>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</si>
  <si>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</si>
  <si>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</si>
  <si>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</si>
  <si>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</si>
  <si>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</si>
  <si>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</si>
  <si>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</si>
  <si>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</si>
  <si>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</si>
  <si>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</si>
  <si>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</si>
  <si>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</si>
  <si>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</si>
  <si>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</si>
  <si>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</si>
  <si>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</si>
  <si>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</si>
  <si>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</si>
  <si>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</si>
  <si>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</si>
  <si>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</si>
  <si>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</si>
  <si>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</si>
  <si>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</si>
  <si>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</si>
  <si>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</si>
  <si>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</si>
  <si>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</si>
  <si>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</si>
  <si>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</si>
  <si>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</si>
  <si>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</si>
  <si>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</si>
  <si>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</si>
  <si>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</si>
  <si>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</si>
  <si>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</si>
  <si>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</si>
  <si>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</si>
  <si>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</si>
  <si>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</si>
  <si>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</si>
  <si>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</si>
  <si>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</si>
  <si>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</si>
  <si>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</si>
  <si>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</si>
  <si>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</si>
  <si>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</si>
  <si>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</si>
  <si>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</si>
  <si>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</si>
  <si>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</si>
  <si>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</si>
  <si>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</si>
  <si>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</si>
  <si>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</si>
  <si>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</si>
  <si>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</si>
  <si>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</si>
  <si>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</si>
  <si>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</si>
  <si>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</si>
  <si>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</si>
  <si>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</si>
  <si>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</si>
  <si>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</si>
  <si>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</si>
  <si>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</si>
  <si>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</si>
  <si>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</si>
  <si>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</si>
  <si>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</si>
  <si>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</si>
  <si>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</si>
  <si>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</si>
  <si>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</si>
  <si>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</si>
  <si>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</si>
  <si>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</si>
  <si>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</si>
  <si>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</si>
  <si>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</si>
  <si>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</si>
  <si>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</si>
  <si>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</si>
  <si>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</si>
  <si>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</si>
  <si>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</si>
  <si>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</si>
  <si>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</si>
  <si>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</si>
  <si>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</si>
  <si>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</si>
  <si>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</si>
  <si>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</si>
  <si>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</si>
  <si>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</si>
  <si>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</si>
  <si>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</si>
  <si>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</si>
  <si>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</si>
  <si>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</si>
  <si>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</si>
  <si>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</si>
  <si>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</si>
  <si>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</si>
  <si>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</si>
  <si>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</si>
  <si>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</si>
  <si>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</si>
  <si>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</si>
  <si>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</si>
  <si>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</si>
  <si>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</si>
  <si>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</si>
  <si>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</si>
  <si>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</si>
  <si>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</si>
  <si>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</si>
  <si>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</si>
  <si>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</si>
  <si>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</si>
  <si>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</si>
  <si>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</si>
  <si>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</si>
  <si>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</si>
  <si>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</si>
  <si>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</si>
  <si>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</si>
  <si>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</si>
  <si>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</si>
  <si>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</si>
  <si>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</si>
  <si>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</si>
  <si>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</si>
  <si>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</si>
  <si>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</si>
  <si>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</si>
  <si>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</si>
  <si>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</si>
  <si>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</si>
  <si>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</si>
  <si>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</si>
  <si>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</si>
  <si>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</si>
  <si>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</si>
  <si>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</si>
  <si>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</si>
  <si>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</si>
  <si>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</si>
  <si>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</si>
  <si>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</si>
  <si>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</si>
  <si>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</si>
  <si>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</si>
  <si>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</si>
  <si>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</si>
  <si>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</si>
  <si>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</si>
  <si>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</si>
  <si>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</si>
  <si>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</si>
  <si>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</si>
  <si>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</si>
  <si>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</si>
  <si>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</si>
  <si>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</si>
  <si>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</si>
  <si>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</si>
  <si>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</si>
  <si>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</si>
  <si>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</si>
  <si>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</si>
  <si>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</si>
  <si>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</si>
  <si>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</si>
  <si>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</si>
  <si>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</si>
  <si>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</si>
  <si>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</si>
  <si>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</si>
  <si>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</si>
  <si>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</si>
  <si>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</si>
  <si>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</si>
  <si>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</si>
  <si>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</si>
  <si>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</si>
  <si>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</si>
  <si>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</si>
  <si>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</si>
  <si>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</si>
  <si>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</si>
  <si>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</si>
  <si>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</si>
  <si>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</si>
  <si>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</si>
  <si>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</si>
  <si>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</si>
  <si>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</si>
  <si>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</si>
  <si>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</si>
  <si>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</si>
  <si>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</si>
  <si>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</si>
  <si>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</si>
  <si>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</si>
  <si>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</si>
  <si>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</si>
  <si>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</si>
  <si>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</si>
  <si>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</si>
  <si>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</si>
  <si>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</si>
  <si>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</si>
  <si>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</si>
  <si>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</si>
  <si>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</si>
  <si>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</si>
  <si>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</si>
  <si>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</si>
  <si>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</si>
  <si>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</si>
  <si>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</si>
  <si>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</si>
  <si>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</si>
  <si>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</si>
  <si>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</si>
  <si>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</si>
  <si>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</si>
  <si>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</si>
  <si>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</si>
  <si>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</si>
  <si>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</si>
  <si>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</si>
  <si>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</si>
  <si>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</si>
  <si>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</si>
  <si>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</si>
  <si>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</si>
  <si>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</si>
  <si>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</si>
  <si>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</si>
  <si>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</si>
  <si>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</si>
  <si>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</si>
  <si>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</si>
  <si>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</si>
  <si>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</si>
  <si>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</si>
  <si>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</si>
  <si>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</si>
  <si>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</si>
  <si>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</si>
  <si>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</si>
  <si>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</si>
  <si>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</si>
  <si>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</si>
  <si>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</si>
  <si>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</si>
  <si>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</si>
  <si>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</si>
  <si>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</si>
  <si>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</si>
  <si>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</si>
  <si>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</si>
  <si>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</si>
  <si>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</si>
  <si>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</si>
  <si>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</si>
  <si>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</si>
  <si>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</si>
  <si>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</si>
  <si>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</si>
  <si>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</si>
  <si>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</si>
  <si>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</si>
  <si>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</si>
  <si>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</si>
  <si>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</si>
  <si>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</si>
  <si>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</si>
  <si>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</si>
  <si>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</si>
  <si>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</si>
  <si>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</si>
  <si>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</si>
  <si>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</si>
  <si>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</si>
  <si>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</si>
  <si>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</si>
  <si>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</si>
  <si>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</si>
  <si>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</si>
  <si>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</si>
  <si>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</si>
  <si>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</si>
  <si>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</si>
  <si>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</si>
  <si>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</si>
  <si>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</si>
  <si>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</si>
  <si>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</si>
  <si>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</si>
  <si>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</si>
  <si>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</si>
  <si>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</si>
  <si>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</si>
  <si>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</si>
  <si>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</si>
  <si>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</si>
  <si>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</si>
  <si>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</si>
  <si>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</si>
  <si>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</si>
  <si>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</si>
  <si>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</si>
  <si>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</si>
  <si>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</si>
  <si>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</si>
  <si>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</si>
  <si>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</si>
  <si>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</si>
  <si>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</si>
  <si>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</si>
  <si>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</si>
  <si>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</si>
  <si>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</si>
  <si>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</si>
  <si>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</si>
  <si>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</si>
  <si>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</si>
  <si>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</si>
  <si>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</si>
  <si>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</si>
  <si>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</si>
  <si>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</si>
  <si>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</si>
  <si>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</si>
  <si>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</si>
  <si>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</si>
  <si>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</si>
  <si>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</si>
  <si>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</si>
  <si>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</si>
  <si>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</si>
  <si>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</si>
  <si>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</si>
  <si>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</si>
  <si>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</si>
  <si>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</si>
  <si>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</si>
  <si>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</si>
  <si>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</si>
  <si>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</si>
  <si>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</si>
  <si>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</si>
  <si>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</si>
  <si>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</si>
  <si>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</si>
  <si>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</si>
  <si>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</si>
  <si>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</si>
  <si>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</si>
  <si>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</si>
  <si>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</si>
  <si>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</si>
  <si>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</si>
  <si>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</si>
  <si>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</si>
  <si>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</si>
  <si>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</si>
  <si>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</si>
  <si>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</si>
  <si>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</si>
  <si>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</si>
  <si>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</si>
  <si>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</si>
  <si>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</si>
  <si>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</si>
  <si>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</si>
  <si>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</si>
  <si>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</si>
  <si>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</si>
  <si>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</si>
  <si>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</si>
  <si>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</si>
  <si>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</si>
  <si>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</si>
  <si>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</si>
  <si>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</si>
  <si>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</si>
  <si>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</si>
  <si>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</si>
  <si>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</si>
  <si>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</si>
  <si>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</si>
  <si>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</si>
  <si>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</si>
  <si>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</si>
  <si>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</si>
  <si>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</si>
  <si>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</si>
  <si>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</si>
  <si>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</si>
  <si>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</si>
  <si>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</si>
  <si>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</si>
  <si>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</si>
  <si>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</si>
  <si>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</si>
  <si>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</si>
  <si>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</si>
  <si>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</si>
  <si>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</si>
  <si>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</si>
  <si>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</si>
  <si>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</si>
  <si>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</si>
  <si>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</si>
  <si>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</si>
  <si>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</si>
  <si>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</si>
  <si>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</si>
  <si>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</si>
  <si>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</si>
  <si>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</si>
  <si>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</si>
  <si>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</si>
  <si>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</si>
  <si>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</si>
  <si>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</si>
  <si>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</si>
  <si>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</si>
  <si>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</si>
  <si>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</si>
  <si>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</si>
  <si>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</si>
  <si>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</si>
  <si>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</si>
  <si>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</si>
  <si>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</si>
  <si>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</si>
  <si>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</si>
  <si>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</si>
  <si>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</si>
  <si>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</si>
  <si>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</si>
  <si>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</si>
  <si>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</si>
  <si>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</si>
  <si>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</si>
  <si>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</si>
  <si>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</si>
  <si>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</si>
  <si>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</si>
  <si>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</si>
  <si>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</si>
  <si>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</si>
  <si>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</si>
  <si>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</si>
  <si>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</si>
  <si>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</si>
  <si>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</si>
  <si>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</si>
  <si>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</si>
  <si>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</si>
  <si>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</si>
  <si>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</si>
  <si>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</si>
  <si>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</si>
  <si>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</si>
  <si>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</si>
  <si>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</si>
  <si>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</si>
  <si>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</si>
  <si>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</si>
  <si>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</si>
  <si>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</si>
  <si>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</si>
  <si>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</si>
  <si>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</si>
  <si>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</si>
  <si>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</si>
  <si>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</si>
  <si>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</si>
  <si>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</si>
  <si>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</si>
  <si>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</si>
  <si>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</si>
  <si>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</si>
  <si>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</si>
  <si>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</si>
  <si>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</si>
  <si>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</si>
  <si>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</si>
  <si>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</si>
  <si>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</si>
  <si>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</si>
  <si>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</si>
  <si>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</si>
  <si>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</si>
  <si>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</si>
  <si>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</si>
  <si>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</si>
  <si>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</si>
  <si>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</si>
  <si>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</si>
  <si>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</si>
  <si>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</si>
  <si>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</si>
  <si>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</si>
  <si>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</si>
  <si>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</si>
  <si>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</si>
  <si>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</si>
  <si>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</si>
  <si>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</si>
  <si>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</si>
  <si>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</si>
  <si>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</si>
  <si>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</si>
  <si>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</si>
  <si>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</si>
  <si>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</si>
  <si>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</si>
  <si>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</si>
  <si>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</si>
  <si>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</si>
  <si>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</si>
  <si>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</si>
  <si>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</si>
  <si>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</si>
  <si>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</si>
  <si>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</si>
  <si>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</si>
  <si>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</si>
  <si>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</si>
  <si>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</si>
  <si>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</si>
  <si>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</si>
  <si>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</si>
  <si>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</si>
  <si>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</si>
  <si>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</si>
  <si>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</si>
  <si>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</si>
  <si>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</si>
  <si>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</si>
  <si>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</si>
  <si>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</si>
  <si>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</si>
  <si>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</si>
  <si>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</si>
  <si>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</si>
  <si>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</si>
  <si>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</si>
  <si>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</si>
  <si>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</si>
  <si>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</si>
  <si>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</si>
  <si>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</si>
  <si>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</si>
  <si>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</si>
  <si>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</si>
  <si>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</si>
  <si>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</si>
  <si>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</si>
  <si>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</si>
  <si>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</si>
  <si>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</si>
  <si>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</si>
  <si>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</si>
  <si>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</si>
  <si>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</si>
  <si>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</si>
  <si>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</si>
  <si>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</si>
  <si>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</si>
  <si>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</si>
  <si>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</si>
  <si>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</si>
  <si>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</si>
  <si>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</si>
  <si>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</si>
  <si>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</si>
  <si>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</si>
  <si>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</si>
  <si>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</si>
  <si>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</si>
  <si>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</si>
  <si>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</si>
  <si>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</si>
  <si>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</si>
  <si>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</si>
  <si>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</si>
  <si>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</si>
  <si>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</si>
  <si>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</si>
  <si>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</si>
  <si>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</si>
  <si>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</si>
  <si>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</si>
  <si>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</si>
  <si>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</si>
  <si>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</si>
  <si>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</si>
  <si>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</si>
  <si>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</si>
  <si>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</si>
  <si>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</si>
  <si>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</si>
  <si>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</si>
  <si>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</si>
  <si>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</si>
  <si>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</si>
  <si>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</si>
  <si>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</si>
  <si>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</si>
  <si>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</si>
  <si>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</si>
  <si>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</si>
  <si>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</si>
  <si>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</si>
  <si>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</si>
  <si>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</si>
  <si>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</si>
  <si>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</si>
  <si>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</si>
  <si>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</si>
  <si>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</si>
  <si>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</si>
  <si>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</si>
  <si>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</si>
  <si>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</si>
  <si>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</si>
  <si>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</si>
  <si>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</si>
  <si>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</si>
  <si>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</si>
  <si>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</si>
  <si>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</si>
  <si>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</si>
  <si>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</si>
  <si>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</si>
  <si>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</si>
  <si>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</si>
  <si>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</si>
  <si>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</si>
  <si>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</si>
  <si>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</si>
  <si>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</si>
  <si>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</si>
  <si>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</si>
  <si>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</si>
  <si>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</si>
  <si>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</si>
  <si>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</si>
  <si>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</si>
  <si>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</si>
  <si>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</si>
  <si>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</si>
  <si>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</si>
  <si>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</si>
  <si>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</si>
  <si>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</si>
  <si>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</si>
  <si>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</si>
  <si>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</si>
  <si>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</si>
  <si>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</si>
  <si>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</si>
  <si>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</si>
  <si>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</si>
  <si>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</si>
  <si>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</si>
  <si>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</si>
  <si>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</si>
  <si>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</si>
  <si>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</si>
  <si>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</si>
  <si>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</si>
  <si>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</si>
  <si>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</si>
  <si>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</si>
  <si>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</si>
  <si>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</si>
  <si>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</si>
  <si>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</si>
  <si>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</si>
  <si>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</si>
  <si>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</si>
  <si>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</si>
  <si>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</si>
  <si>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</si>
  <si>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</si>
  <si>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</si>
  <si>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</si>
  <si>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</si>
  <si>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</si>
  <si>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</si>
  <si>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</si>
  <si>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</si>
  <si>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</si>
  <si>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</si>
  <si>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</si>
  <si>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</si>
  <si>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</si>
  <si>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</si>
  <si>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</si>
  <si>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</si>
  <si>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</si>
  <si>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</si>
  <si>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</si>
  <si>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</si>
  <si>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</si>
  <si>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</si>
  <si>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</si>
  <si>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</si>
  <si>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</si>
  <si>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</si>
  <si>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</si>
  <si>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</si>
  <si>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</si>
  <si>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</si>
  <si>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</si>
  <si>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</si>
  <si>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</si>
  <si>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</si>
  <si>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</si>
  <si>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</si>
  <si>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</si>
  <si>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</si>
  <si>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</si>
  <si>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</si>
  <si>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</si>
  <si>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</si>
  <si>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</si>
  <si>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</si>
  <si>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</si>
  <si>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</si>
  <si>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</si>
  <si>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</si>
  <si>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</si>
  <si>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</si>
  <si>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</si>
  <si>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</si>
  <si>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</si>
  <si>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</si>
  <si>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</si>
  <si>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</si>
  <si>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</si>
  <si>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</si>
  <si>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</si>
  <si>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</si>
  <si>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</si>
  <si>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</si>
  <si>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</si>
  <si>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</si>
  <si>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</si>
  <si>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</si>
  <si>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</si>
  <si>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</si>
  <si>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</si>
  <si>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</si>
  <si>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</si>
  <si>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</si>
  <si>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</si>
  <si>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</si>
  <si>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</si>
  <si>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</si>
  <si>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</si>
  <si>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</si>
  <si>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</si>
  <si>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</si>
  <si>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</si>
  <si>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</si>
  <si>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</si>
  <si>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</si>
  <si>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</si>
  <si>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</si>
  <si>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</si>
  <si>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</si>
  <si>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</si>
  <si>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</si>
  <si>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</si>
  <si>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</si>
  <si>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</si>
  <si>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</si>
  <si>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</si>
  <si>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</si>
  <si>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</si>
  <si>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</si>
  <si>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</si>
  <si>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</si>
  <si>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</si>
  <si>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</si>
  <si>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</si>
  <si>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</si>
  <si>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</si>
  <si>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</si>
  <si>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</si>
  <si>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</si>
  <si>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</si>
  <si>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</si>
  <si>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</si>
  <si>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</si>
  <si>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</si>
  <si>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</si>
  <si>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</si>
  <si>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</si>
  <si>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</si>
  <si>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</si>
  <si>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</si>
  <si>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</si>
  <si>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</si>
  <si>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</si>
  <si>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</si>
  <si>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</si>
  <si>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</si>
  <si>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</si>
  <si>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</si>
  <si>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</si>
  <si>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</si>
  <si>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</si>
  <si>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</si>
  <si>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</si>
  <si>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</si>
  <si>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</si>
  <si>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</si>
  <si>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</si>
  <si>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</si>
  <si>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</si>
  <si>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</si>
  <si>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</si>
  <si>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</si>
  <si>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</si>
  <si>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</si>
  <si>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</si>
  <si>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</si>
  <si>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</si>
  <si>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</si>
  <si>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</si>
  <si>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</si>
  <si>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</si>
  <si>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</si>
  <si>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</si>
  <si>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</si>
  <si>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</si>
  <si>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</si>
  <si>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</si>
  <si>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</si>
  <si>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</si>
  <si>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</si>
  <si>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</si>
  <si>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</si>
  <si>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</si>
  <si>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</si>
  <si>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</si>
  <si>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</si>
  <si>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</si>
  <si>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</si>
  <si>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</si>
  <si>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</si>
  <si>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</si>
  <si>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</si>
  <si>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</si>
  <si>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</si>
  <si>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</si>
  <si>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</si>
  <si>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</si>
  <si>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</si>
  <si>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</si>
  <si>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</si>
  <si>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</si>
  <si>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</si>
  <si>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</si>
  <si>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</si>
  <si>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</si>
  <si>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</si>
  <si>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</si>
  <si>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</si>
  <si>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</si>
  <si>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</si>
  <si>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</si>
  <si>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</si>
  <si>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</si>
  <si>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</si>
  <si>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</si>
  <si>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</si>
  <si>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</si>
  <si>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</si>
  <si>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</si>
  <si>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</si>
  <si>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</si>
  <si>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</si>
  <si>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</si>
  <si>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</si>
  <si>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</si>
  <si>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</si>
  <si>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</si>
  <si>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</si>
  <si>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</si>
  <si>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</si>
  <si>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</si>
  <si>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</si>
  <si>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</si>
  <si>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</si>
  <si>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</si>
  <si>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</si>
  <si>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</si>
  <si>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</si>
  <si>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</si>
  <si>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</si>
  <si>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</si>
  <si>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</si>
  <si>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</si>
  <si>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</si>
  <si>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</si>
  <si>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</si>
  <si>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</si>
  <si>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</si>
  <si>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</si>
  <si>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</si>
  <si>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</si>
  <si>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</si>
  <si>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</si>
  <si>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</si>
  <si>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</si>
  <si>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</si>
  <si>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</si>
  <si>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</si>
  <si>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</si>
  <si>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</si>
  <si>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</si>
  <si>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</si>
  <si>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</si>
  <si>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</si>
  <si>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</si>
  <si>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</si>
  <si>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</si>
  <si>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</si>
  <si>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</si>
  <si>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</si>
  <si>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</si>
  <si>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</si>
  <si>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</si>
  <si>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</si>
  <si>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</si>
  <si>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</si>
  <si>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</si>
  <si>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</si>
  <si>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</si>
  <si>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</si>
  <si>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</si>
  <si>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</si>
  <si>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</si>
  <si>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</si>
  <si>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</si>
  <si>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</si>
  <si>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</si>
  <si>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</si>
  <si>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</si>
  <si>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</si>
  <si>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</si>
  <si>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</si>
  <si>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</si>
  <si>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</si>
  <si>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</si>
  <si>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</si>
  <si>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</si>
  <si>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</si>
  <si>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</si>
  <si>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</si>
  <si>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</si>
  <si>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</si>
  <si>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</si>
  <si>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</si>
  <si>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</si>
  <si>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</si>
  <si>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</si>
  <si>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</si>
  <si>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</si>
  <si>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</si>
  <si>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</si>
  <si>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</si>
  <si>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</si>
  <si>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</si>
  <si>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</si>
  <si>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</si>
  <si>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</si>
  <si>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</si>
  <si>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</si>
  <si>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</si>
  <si>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</si>
  <si>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</si>
  <si>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</si>
  <si>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</si>
  <si>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</si>
  <si>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</si>
  <si>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</si>
  <si>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</si>
  <si>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</si>
  <si>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</si>
  <si>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</si>
  <si>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</si>
  <si>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</si>
  <si>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</si>
  <si>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</si>
  <si>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</si>
  <si>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</si>
  <si>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</si>
  <si>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</si>
  <si>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</si>
  <si>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</si>
  <si>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</si>
  <si>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</si>
  <si>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</si>
  <si>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</si>
  <si>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</si>
  <si>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</si>
  <si>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</si>
  <si>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</si>
  <si>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</si>
  <si>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</si>
  <si>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</si>
  <si>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</si>
  <si>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</si>
  <si>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</si>
  <si>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</si>
  <si>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</si>
  <si>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</si>
  <si>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</si>
  <si>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</si>
  <si>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</si>
  <si>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</si>
  <si>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</si>
  <si>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</si>
  <si>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</si>
  <si>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</si>
  <si>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</si>
  <si>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</si>
  <si>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</si>
  <si>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</si>
  <si>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</si>
  <si>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</si>
  <si>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</si>
  <si>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</si>
  <si>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</si>
  <si>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</si>
  <si>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</si>
  <si>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</si>
  <si>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</si>
  <si>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</si>
  <si>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</si>
  <si>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</si>
  <si>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</si>
  <si>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</si>
  <si>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</si>
  <si>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</si>
  <si>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</si>
  <si>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</si>
  <si>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</si>
  <si>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</si>
  <si>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</si>
  <si>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</si>
  <si>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</si>
  <si>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</si>
  <si>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</si>
  <si>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</si>
  <si>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</si>
  <si>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</si>
  <si>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</si>
  <si>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</si>
  <si>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</si>
  <si>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</si>
  <si>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</si>
  <si>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</si>
  <si>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</si>
  <si>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</si>
  <si>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</si>
  <si>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</si>
  <si>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</si>
  <si>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</si>
  <si>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</si>
  <si>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</si>
  <si>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</si>
  <si>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</si>
  <si>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</si>
  <si>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</si>
  <si>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</si>
  <si>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</si>
  <si>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</si>
  <si>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</si>
  <si>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</si>
  <si>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</si>
  <si>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</si>
  <si>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</si>
  <si>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</si>
  <si>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</si>
  <si>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</si>
  <si>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</si>
  <si>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</si>
  <si>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</si>
  <si>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</si>
  <si>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</si>
  <si>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</si>
  <si>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</si>
  <si>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</si>
  <si>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</si>
  <si>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</si>
  <si>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</si>
  <si>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</si>
  <si>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</si>
  <si>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</si>
  <si>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</si>
  <si>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</si>
  <si>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</si>
  <si>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</si>
  <si>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</si>
  <si>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</si>
  <si>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</si>
  <si>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</si>
  <si>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</si>
  <si>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</si>
  <si>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</si>
  <si>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</si>
  <si>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</si>
  <si>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</si>
  <si>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</si>
  <si>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</si>
  <si>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</si>
  <si>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</si>
  <si>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</si>
  <si>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</si>
  <si>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</si>
  <si>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</si>
  <si>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</si>
  <si>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</si>
  <si>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</si>
  <si>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</si>
  <si>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</si>
  <si>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</si>
  <si>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</si>
  <si>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</si>
  <si>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</si>
  <si>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</si>
  <si>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</si>
  <si>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</si>
  <si>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</si>
  <si>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</si>
  <si>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</si>
  <si>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</si>
  <si>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</si>
  <si>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</si>
  <si>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</si>
  <si>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</si>
  <si>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</si>
  <si>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</si>
  <si>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</si>
  <si>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</si>
  <si>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</si>
  <si>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</si>
  <si>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</si>
  <si>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</si>
  <si>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</si>
  <si>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</si>
  <si>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</si>
  <si>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</si>
  <si>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</si>
  <si>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</si>
  <si>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</si>
  <si>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</si>
  <si>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</si>
  <si>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</si>
  <si>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</si>
  <si>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</si>
  <si>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</si>
  <si>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</si>
  <si>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</si>
  <si>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</si>
  <si>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</si>
  <si>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</si>
  <si>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</si>
  <si>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</si>
  <si>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</si>
  <si>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</si>
  <si>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</si>
  <si>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</si>
  <si>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</si>
  <si>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</si>
  <si>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</si>
  <si>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</si>
  <si>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</si>
  <si>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</si>
  <si>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</si>
  <si>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</si>
  <si>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</si>
  <si>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</si>
  <si>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</si>
  <si>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</si>
  <si>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</si>
  <si>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</si>
  <si>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</si>
  <si>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</si>
  <si>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</si>
  <si>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</si>
  <si>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</si>
  <si>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</si>
  <si>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</si>
  <si>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</si>
  <si>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</si>
  <si>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</si>
  <si>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</si>
  <si>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</si>
  <si>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</si>
  <si>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</si>
  <si>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</si>
  <si>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</si>
  <si>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</si>
  <si>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</si>
  <si>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</si>
  <si>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</si>
  <si>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</si>
  <si>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</si>
  <si>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</si>
  <si>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</si>
  <si>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</si>
  <si>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</si>
  <si>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</si>
  <si>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</si>
  <si>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</si>
  <si>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</si>
  <si>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</si>
  <si>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</si>
  <si>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</si>
  <si>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</si>
  <si>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</si>
  <si>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</si>
  <si>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</si>
  <si>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</si>
  <si>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</si>
  <si>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</si>
  <si>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</si>
  <si>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</si>
  <si>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</si>
  <si>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</si>
  <si>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</si>
  <si>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</si>
  <si>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</si>
  <si>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</si>
  <si>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</si>
  <si>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</si>
  <si>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</si>
  <si>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</si>
  <si>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</si>
  <si>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</si>
  <si>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</si>
  <si>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</si>
  <si>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</si>
  <si>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</si>
  <si>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</si>
  <si>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</si>
  <si>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</si>
  <si>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</si>
  <si>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</si>
  <si>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</si>
  <si>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</si>
  <si>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</si>
  <si>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</si>
  <si>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</si>
  <si>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</si>
  <si>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</si>
  <si>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</si>
  <si>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</si>
  <si>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</si>
  <si>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</si>
  <si>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</si>
  <si>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</si>
  <si>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</si>
  <si>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</si>
  <si>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</si>
  <si>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</si>
  <si>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</si>
  <si>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</si>
  <si>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</si>
  <si>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</si>
  <si>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</si>
  <si>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</si>
  <si>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</si>
  <si>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</si>
  <si>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</si>
  <si>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</si>
  <si>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</si>
  <si>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</si>
  <si>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</si>
  <si>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</si>
  <si>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</si>
  <si>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</si>
  <si>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</si>
  <si>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</si>
  <si>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</si>
  <si>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</si>
  <si>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</si>
  <si>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</si>
  <si>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</si>
  <si>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</si>
  <si>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</si>
  <si>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</si>
  <si>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</si>
  <si>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</si>
  <si>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</si>
  <si>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</si>
  <si>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</si>
  <si>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</si>
  <si>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</si>
  <si>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</si>
  <si>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</si>
  <si>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</si>
  <si>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</si>
  <si>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</si>
  <si>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</si>
  <si>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</si>
  <si>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</si>
  <si>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</si>
  <si>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</si>
  <si>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</si>
  <si>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</si>
  <si>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</si>
  <si>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</si>
  <si>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</si>
  <si>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</si>
  <si>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</si>
  <si>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</si>
  <si>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</si>
  <si>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</si>
  <si>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</si>
  <si>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</si>
  <si>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</si>
  <si>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</si>
  <si>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</si>
  <si>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</si>
  <si>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</si>
  <si>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</si>
  <si>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</si>
  <si>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</si>
  <si>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</si>
  <si>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</si>
  <si>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</si>
  <si>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</si>
  <si>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</si>
  <si>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</si>
  <si>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</si>
  <si>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</si>
  <si>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</si>
  <si>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</si>
  <si>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</si>
  <si>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</si>
  <si>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</si>
  <si>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</si>
  <si>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</si>
  <si>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</si>
  <si>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</si>
  <si>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</si>
  <si>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</si>
  <si>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</si>
  <si>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</si>
  <si>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</si>
  <si>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</si>
  <si>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</si>
  <si>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</si>
  <si>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</si>
  <si>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</si>
  <si>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</si>
  <si>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</si>
  <si>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</si>
  <si>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</si>
  <si>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</si>
  <si>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</si>
  <si>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</si>
  <si>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</si>
  <si>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</si>
  <si>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</si>
  <si>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</si>
  <si>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</si>
  <si>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</si>
  <si>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</si>
  <si>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</si>
  <si>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</si>
  <si>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</si>
  <si>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</si>
  <si>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</si>
  <si>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</si>
  <si>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</si>
  <si>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</si>
  <si>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</si>
  <si>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</si>
  <si>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</si>
  <si>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</si>
  <si>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</si>
  <si>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</si>
  <si>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</si>
  <si>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</si>
  <si>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</si>
  <si>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</si>
  <si>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</si>
  <si>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</si>
  <si>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</si>
  <si>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</si>
  <si>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</si>
  <si>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</si>
  <si>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</si>
  <si>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</si>
  <si>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</si>
  <si>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</si>
  <si>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</si>
  <si>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</si>
  <si>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</si>
  <si>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</si>
  <si>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</si>
  <si>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</si>
  <si>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</si>
  <si>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</si>
  <si>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</si>
  <si>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</si>
  <si>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</si>
  <si>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</si>
  <si>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</si>
  <si>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</si>
  <si>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</si>
  <si>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</si>
  <si>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</si>
  <si>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</si>
  <si>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</si>
  <si>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</si>
  <si>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</si>
  <si>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</si>
  <si>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</si>
  <si>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</si>
  <si>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</si>
  <si>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</si>
  <si>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</si>
  <si>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</si>
  <si>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</si>
  <si>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</si>
  <si>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</si>
  <si>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</si>
  <si>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</si>
  <si>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</si>
  <si>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</si>
  <si>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</si>
  <si>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</si>
  <si>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</si>
  <si>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</si>
  <si>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</si>
  <si>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</si>
  <si>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</si>
  <si>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</si>
  <si>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</si>
  <si>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</si>
  <si>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</si>
  <si>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</si>
  <si>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</si>
  <si>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</si>
  <si>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</si>
  <si>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</si>
  <si>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</si>
  <si>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</si>
  <si>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</si>
  <si>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</si>
  <si>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</si>
  <si>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</si>
  <si>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</si>
  <si>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</si>
  <si>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</si>
  <si>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</si>
  <si>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</si>
  <si>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</si>
  <si>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</si>
  <si>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</si>
  <si>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</si>
  <si>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</si>
  <si>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</si>
  <si>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</si>
  <si>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</si>
  <si>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</si>
  <si>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</si>
  <si>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</si>
  <si>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</si>
  <si>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</si>
  <si>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</si>
  <si>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</si>
  <si>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</si>
  <si>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</si>
  <si>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</si>
  <si>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</si>
  <si>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</si>
  <si>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</si>
  <si>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</si>
  <si>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</si>
  <si>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</si>
  <si>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</si>
  <si>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</si>
  <si>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</si>
  <si>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</si>
  <si>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</si>
  <si>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</si>
  <si>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</si>
  <si>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</si>
  <si>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</si>
  <si>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</si>
  <si>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</si>
  <si>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</si>
  <si>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</si>
  <si>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</si>
  <si>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</si>
  <si>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</si>
  <si>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</si>
  <si>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</si>
  <si>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</si>
  <si>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</si>
  <si>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</si>
  <si>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</si>
  <si>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</si>
  <si>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</si>
  <si>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</si>
  <si>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</si>
  <si>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</si>
  <si>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</si>
  <si>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</si>
  <si>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</si>
  <si>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</si>
  <si>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</si>
  <si>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</si>
  <si>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</si>
  <si>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</si>
  <si>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</si>
  <si>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</si>
  <si>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</si>
  <si>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</si>
  <si>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</si>
  <si>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</si>
  <si>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</si>
  <si>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</si>
  <si>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</si>
  <si>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</si>
  <si>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</si>
  <si>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</si>
  <si>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</si>
  <si>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</si>
  <si>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</si>
  <si>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</si>
  <si>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</si>
  <si>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</si>
  <si>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</si>
  <si>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</si>
  <si>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</si>
  <si>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</si>
  <si>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</si>
  <si>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</si>
  <si>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</si>
  <si>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</si>
  <si>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</si>
  <si>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</si>
  <si>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</si>
  <si>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</si>
  <si>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</si>
  <si>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</si>
  <si>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</si>
  <si>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</si>
  <si>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</si>
  <si>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</si>
  <si>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</si>
  <si>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</si>
  <si>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</si>
  <si>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</si>
  <si>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</si>
  <si>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</si>
  <si>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</si>
  <si>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</si>
  <si>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</si>
  <si>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</si>
  <si>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</si>
  <si>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</si>
  <si>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</si>
  <si>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</si>
  <si>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</si>
  <si>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</si>
  <si>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</si>
  <si>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</si>
  <si>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</si>
  <si>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</si>
  <si>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</si>
  <si>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</si>
  <si>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</si>
  <si>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</si>
  <si>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</si>
  <si>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</si>
  <si>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</si>
  <si>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</si>
  <si>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</si>
  <si>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</si>
  <si>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</si>
  <si>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</si>
  <si>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</si>
  <si>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</si>
  <si>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</si>
  <si>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</si>
  <si>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</si>
  <si>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</si>
  <si>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</si>
  <si>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</si>
  <si>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</si>
  <si>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</si>
  <si>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</si>
  <si>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</si>
  <si>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</si>
  <si>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</si>
  <si>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</si>
  <si>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</si>
  <si>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</si>
  <si>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</si>
  <si>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</si>
  <si>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</si>
  <si>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</si>
  <si>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</si>
  <si>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</si>
  <si>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</si>
  <si>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</si>
  <si>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</si>
  <si>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</si>
  <si>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</si>
  <si>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</si>
  <si>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</si>
  <si>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</si>
  <si>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</si>
  <si>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</si>
  <si>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</si>
  <si>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</si>
  <si>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</si>
  <si>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</si>
  <si>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</si>
  <si>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</si>
  <si>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</si>
  <si>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</si>
  <si>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</si>
  <si>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</si>
  <si>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</si>
  <si>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</si>
  <si>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</si>
  <si>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</si>
  <si>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</si>
  <si>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</si>
  <si>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</si>
  <si>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</si>
  <si>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</si>
  <si>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</si>
  <si>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</si>
  <si>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</si>
  <si>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</si>
  <si>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</si>
  <si>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</si>
  <si>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</si>
  <si>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</si>
  <si>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</si>
  <si>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</si>
  <si>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</si>
  <si>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</si>
  <si>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</si>
  <si>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</si>
  <si>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</si>
  <si>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</si>
  <si>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</si>
  <si>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</si>
  <si>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</si>
  <si>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</si>
  <si>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</si>
  <si>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</si>
  <si>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</si>
  <si>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</si>
  <si>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</si>
  <si>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</si>
  <si>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</si>
  <si>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</si>
  <si>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</si>
  <si>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</si>
  <si>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</si>
  <si>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</si>
  <si>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</si>
  <si>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</si>
  <si>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</si>
  <si>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</si>
  <si>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</si>
  <si>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</si>
  <si>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</si>
  <si>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</si>
  <si>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</si>
  <si>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</si>
  <si>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</si>
  <si>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</si>
  <si>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</si>
  <si>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</si>
  <si>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</si>
  <si>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</si>
  <si>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</si>
  <si>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</si>
  <si>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</si>
  <si>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</si>
  <si>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</si>
  <si>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</si>
  <si>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</si>
  <si>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</si>
  <si>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</si>
  <si>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</si>
  <si>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</si>
  <si>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</si>
  <si>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</si>
  <si>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</si>
  <si>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</si>
  <si>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</si>
  <si>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</si>
  <si>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</si>
  <si>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</si>
  <si>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</si>
  <si>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</si>
  <si>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</si>
  <si>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</si>
  <si>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</si>
  <si>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</si>
  <si>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</si>
  <si>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</si>
  <si>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</si>
  <si>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</si>
  <si>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</si>
  <si>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</si>
  <si>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</si>
  <si>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</si>
  <si>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</si>
  <si>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</si>
  <si>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</si>
  <si>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</si>
  <si>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</si>
  <si>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</si>
  <si>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</si>
  <si>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</si>
  <si>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</si>
  <si>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</si>
  <si>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</si>
  <si>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</si>
  <si>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</si>
  <si>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</si>
  <si>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</si>
  <si>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</si>
  <si>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</si>
  <si>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</si>
  <si>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</si>
  <si>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</si>
  <si>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</si>
  <si>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</si>
  <si>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</si>
  <si>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</si>
  <si>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</si>
  <si>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</si>
  <si>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</si>
  <si>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</si>
  <si>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</si>
  <si>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</si>
  <si>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</si>
  <si>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</si>
  <si>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</si>
  <si>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</si>
  <si>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</si>
  <si>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</si>
  <si>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</si>
  <si>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</si>
  <si>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</si>
  <si>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</si>
  <si>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</si>
  <si>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</si>
  <si>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</si>
  <si>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</si>
  <si>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</si>
  <si>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</si>
  <si>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</si>
  <si>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</si>
  <si>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</si>
  <si>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</si>
  <si>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</si>
  <si>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</si>
  <si>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</si>
  <si>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</si>
  <si>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</si>
  <si>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</si>
  <si>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</si>
  <si>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</si>
  <si>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</si>
  <si>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</si>
  <si>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</si>
  <si>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</si>
  <si>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</si>
  <si>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</si>
  <si>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</si>
  <si>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</si>
  <si>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</si>
  <si>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</si>
  <si>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</si>
  <si>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</si>
  <si>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</si>
  <si>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</si>
  <si>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</si>
  <si>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</si>
  <si>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</si>
  <si>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</si>
  <si>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</si>
  <si>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</si>
  <si>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</si>
  <si>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</si>
  <si>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</si>
  <si>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</si>
  <si>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</si>
  <si>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</si>
  <si>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</si>
  <si>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</si>
  <si>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</si>
  <si>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</si>
  <si>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</si>
  <si>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</si>
  <si>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</si>
  <si>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</si>
  <si>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</si>
  <si>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</si>
  <si>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</si>
  <si>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</si>
  <si>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</si>
  <si>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</si>
  <si>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</si>
  <si>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</si>
  <si>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</si>
  <si>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</si>
  <si>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</si>
  <si>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</si>
  <si>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</si>
  <si>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</si>
  <si>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</si>
  <si>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</si>
  <si>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</si>
  <si>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</si>
  <si>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</si>
  <si>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</si>
  <si>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</si>
  <si>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</si>
  <si>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</si>
  <si>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</si>
  <si>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</si>
  <si>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</si>
  <si>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</si>
  <si>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</si>
  <si>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</si>
  <si>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</si>
  <si>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</si>
  <si>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</si>
  <si>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</si>
  <si>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</si>
  <si>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</si>
  <si>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</si>
  <si>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</si>
  <si>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</si>
  <si>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</si>
  <si>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</si>
  <si>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</si>
  <si>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</si>
  <si>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</si>
  <si>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</si>
  <si>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</si>
  <si>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</si>
  <si>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</si>
  <si>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</si>
  <si>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</si>
  <si>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</si>
  <si>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</si>
  <si>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</si>
  <si>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</si>
  <si>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</si>
  <si>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</si>
  <si>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</si>
  <si>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</si>
  <si>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</si>
  <si>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</si>
  <si>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</si>
  <si>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</si>
  <si>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</si>
  <si>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</si>
  <si>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</si>
  <si>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</si>
  <si>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</si>
  <si>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</si>
  <si>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</si>
  <si>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</si>
  <si>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</si>
  <si>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</si>
  <si>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</si>
  <si>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</si>
  <si>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</si>
  <si>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</si>
  <si>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</si>
  <si>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</si>
  <si>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</si>
  <si>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</si>
  <si>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</si>
  <si>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</si>
  <si>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</si>
  <si>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</si>
  <si>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</si>
  <si>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</si>
  <si>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</si>
  <si>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</si>
  <si>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</si>
  <si>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</si>
  <si>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</si>
  <si>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</si>
  <si>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</si>
  <si>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</si>
  <si>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</si>
  <si>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</si>
  <si>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</si>
  <si>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</si>
  <si>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</si>
  <si>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</si>
  <si>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</si>
  <si>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</si>
  <si>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</si>
  <si>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</si>
  <si>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</si>
  <si>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</si>
  <si>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</si>
  <si>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</si>
  <si>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</si>
  <si>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</si>
  <si>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</si>
  <si>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</si>
  <si>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</si>
  <si>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</si>
  <si>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</si>
  <si>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</si>
  <si>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</si>
  <si>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</si>
  <si>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</si>
  <si>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</si>
  <si>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</si>
  <si>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</si>
  <si>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</si>
  <si>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</si>
  <si>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</si>
  <si>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</si>
  <si>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</si>
  <si>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</si>
  <si>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</si>
  <si>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</si>
  <si>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</si>
  <si>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</si>
  <si>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</si>
  <si>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</si>
  <si>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</si>
  <si>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</si>
  <si>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</si>
  <si>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</si>
  <si>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</si>
  <si>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</si>
  <si>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</si>
  <si>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</si>
  <si>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</si>
  <si>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</si>
  <si>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</si>
  <si>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</si>
  <si>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</si>
  <si>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</si>
  <si>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</si>
  <si>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</si>
  <si>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</si>
  <si>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</si>
  <si>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</si>
  <si>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</si>
  <si>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</si>
  <si>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</si>
  <si>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</si>
  <si>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</si>
  <si>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</si>
  <si>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</si>
  <si>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</si>
  <si>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</si>
  <si>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</si>
  <si>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</si>
  <si>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</si>
  <si>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</si>
  <si>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</si>
  <si>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</si>
  <si>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</si>
  <si>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</si>
  <si>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</si>
  <si>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</si>
  <si>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</si>
  <si>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</si>
  <si>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</si>
  <si>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</si>
  <si>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</si>
  <si>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</si>
  <si>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</si>
  <si>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</si>
  <si>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</si>
  <si>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</si>
  <si>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</si>
  <si>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</si>
  <si>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</si>
  <si>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</si>
  <si>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</si>
  <si>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</si>
  <si>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</si>
  <si>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</si>
  <si>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</si>
  <si>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</si>
  <si>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</si>
  <si>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</si>
  <si>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</si>
  <si>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</si>
  <si>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</si>
  <si>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</si>
  <si>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</si>
  <si>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</si>
  <si>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</si>
  <si>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</si>
  <si>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</si>
  <si>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</si>
  <si>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</si>
  <si>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</si>
  <si>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</si>
  <si>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</si>
  <si>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</si>
  <si>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</si>
  <si>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</si>
  <si>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</si>
  <si>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</si>
  <si>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</si>
  <si>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</si>
  <si>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</si>
  <si>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</si>
  <si>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</si>
  <si>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</si>
  <si>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</si>
  <si>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</si>
  <si>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</si>
  <si>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</si>
  <si>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</si>
  <si>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</si>
  <si>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</si>
  <si>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</si>
  <si>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</si>
  <si>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</si>
  <si>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</si>
  <si>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</si>
  <si>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</si>
  <si>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</si>
  <si>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</si>
  <si>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</si>
  <si>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</si>
  <si>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</si>
  <si>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</si>
  <si>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</si>
  <si>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</si>
  <si>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</si>
  <si>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</si>
  <si>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</si>
  <si>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</si>
  <si>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</si>
  <si>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</si>
  <si>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</si>
  <si>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</si>
  <si>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</si>
  <si>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</si>
  <si>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</si>
  <si>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</si>
  <si>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</si>
  <si>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</si>
  <si>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</si>
  <si>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</si>
  <si>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</si>
  <si>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</si>
  <si>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</si>
  <si>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</si>
  <si>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</si>
  <si>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</si>
  <si>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</si>
  <si>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</si>
  <si>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</si>
  <si>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</si>
  <si>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</si>
  <si>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</si>
  <si>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</si>
  <si>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</si>
  <si>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</si>
  <si>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</si>
  <si>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</si>
  <si>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</si>
  <si>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</si>
  <si>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</si>
  <si>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</si>
  <si>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</si>
  <si>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</si>
  <si>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</si>
  <si>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</si>
  <si>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</si>
  <si>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</si>
  <si>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</si>
  <si>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</si>
  <si>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</si>
  <si>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</si>
  <si>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</si>
  <si>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</si>
  <si>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</si>
  <si>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</si>
  <si>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</si>
  <si>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</si>
  <si>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</si>
  <si>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</si>
  <si>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</si>
  <si>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</si>
  <si>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</si>
  <si>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</si>
  <si>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</si>
  <si>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</si>
  <si>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</si>
  <si>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</si>
  <si>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</si>
  <si>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</si>
  <si>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</si>
  <si>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</si>
  <si>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</si>
  <si>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</si>
  <si>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</si>
  <si>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</si>
  <si>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</si>
  <si>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</si>
  <si>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</si>
  <si>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</si>
  <si>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</si>
  <si>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</si>
  <si>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</si>
  <si>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</si>
  <si>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</si>
  <si>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</si>
  <si>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</si>
  <si>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</si>
  <si>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</si>
  <si>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</si>
  <si>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</si>
  <si>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</si>
  <si>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</si>
  <si>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</si>
  <si>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</si>
  <si>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</si>
  <si>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</si>
  <si>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</si>
  <si>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</si>
  <si>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</si>
  <si>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</si>
  <si>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</si>
  <si>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</si>
  <si>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</si>
  <si>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</si>
  <si>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</si>
  <si>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</si>
  <si>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</si>
  <si>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</si>
  <si>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</si>
  <si>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</si>
  <si>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</si>
  <si>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</si>
  <si>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</si>
  <si>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</si>
  <si>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</si>
  <si>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</si>
  <si>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</si>
  <si>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</si>
  <si>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</si>
  <si>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</si>
  <si>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</si>
  <si>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</si>
  <si>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</si>
  <si>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</si>
  <si>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</si>
  <si>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</si>
  <si>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</si>
  <si>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</si>
  <si>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</si>
  <si>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</si>
  <si>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</si>
  <si>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</si>
  <si>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</si>
  <si>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</si>
  <si>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</si>
  <si>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</si>
  <si>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</si>
  <si>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</si>
  <si>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</si>
  <si>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</si>
  <si>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</si>
  <si>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</si>
  <si>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</si>
  <si>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</si>
  <si>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</si>
  <si>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</si>
  <si>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</si>
  <si>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</si>
  <si>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</si>
  <si>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</si>
  <si>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</si>
  <si>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</si>
  <si>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</si>
  <si>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</si>
  <si>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</si>
  <si>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</si>
  <si>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</si>
  <si>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</si>
  <si>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</si>
  <si>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</si>
  <si>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</si>
  <si>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</si>
  <si>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</si>
  <si>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</si>
  <si>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</si>
  <si>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</si>
  <si>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</si>
  <si>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</si>
  <si>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</si>
  <si>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</si>
  <si>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</si>
  <si>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</si>
  <si>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</si>
  <si>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</si>
  <si>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</si>
  <si>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</si>
  <si>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</si>
  <si>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</si>
  <si>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</si>
  <si>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</si>
  <si>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</si>
  <si>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</si>
  <si>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</si>
  <si>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</si>
  <si>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</si>
  <si>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</si>
  <si>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</si>
  <si>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</si>
  <si>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</si>
  <si>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</si>
  <si>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</si>
  <si>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</si>
  <si>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</si>
  <si>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</si>
  <si>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</si>
  <si>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</si>
  <si>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</si>
  <si>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</si>
  <si>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</si>
  <si>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</si>
  <si>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</si>
  <si>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</si>
  <si>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</si>
  <si>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</si>
  <si>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</si>
  <si>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</si>
  <si>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</si>
  <si>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</si>
  <si>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</si>
  <si>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</si>
  <si>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</si>
  <si>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</si>
  <si>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</si>
  <si>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</si>
  <si>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</si>
  <si>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</si>
  <si>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</si>
  <si>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</si>
  <si>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</si>
  <si>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</si>
  <si>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</si>
  <si>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</si>
  <si>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</si>
  <si>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</si>
  <si>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</si>
  <si>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</si>
  <si>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</si>
  <si>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</si>
  <si>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</si>
  <si>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</si>
  <si>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</si>
  <si>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</si>
  <si>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</si>
  <si>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</si>
  <si>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</si>
  <si>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</si>
  <si>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</si>
  <si>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</si>
  <si>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</si>
  <si>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</si>
  <si>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</si>
  <si>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</si>
  <si>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</si>
  <si>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</si>
  <si>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</si>
  <si>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</si>
  <si>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</si>
  <si>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</si>
  <si>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</si>
  <si>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</si>
  <si>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</si>
  <si>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</si>
  <si>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</si>
  <si>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</si>
  <si>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</si>
  <si>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</si>
  <si>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</si>
  <si>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</si>
  <si>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</si>
  <si>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</si>
  <si>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</si>
  <si>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</si>
  <si>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</si>
  <si>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</si>
  <si>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</si>
  <si>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</si>
  <si>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</si>
  <si>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</si>
  <si>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</si>
  <si>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</si>
  <si>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</si>
  <si>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</si>
  <si>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</si>
  <si>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</si>
  <si>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</si>
  <si>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</si>
  <si>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</si>
  <si>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</si>
  <si>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</si>
  <si>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</si>
  <si>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</si>
  <si>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</si>
  <si>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</si>
  <si>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</si>
  <si>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</si>
  <si>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</si>
  <si>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</si>
  <si>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</si>
  <si>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</si>
  <si>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</si>
  <si>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</si>
  <si>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</si>
  <si>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</si>
  <si>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</si>
  <si>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</si>
  <si>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</si>
  <si>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</si>
  <si>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</si>
  <si>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</si>
  <si>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</si>
  <si>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</si>
  <si>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</si>
  <si>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</si>
  <si>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</si>
  <si>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</si>
  <si>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</si>
  <si>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</si>
  <si>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</si>
  <si>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</si>
  <si>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</si>
  <si>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</si>
  <si>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</si>
  <si>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</si>
  <si>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</si>
  <si>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</si>
  <si>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</si>
  <si>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</si>
  <si>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</si>
  <si>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</si>
  <si>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</si>
  <si>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</si>
  <si>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</si>
  <si>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</si>
  <si>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</si>
  <si>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</si>
  <si>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</si>
  <si>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</si>
  <si>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</si>
  <si>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</si>
  <si>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</si>
  <si>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</si>
  <si>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</si>
  <si>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</si>
  <si>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</si>
  <si>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</si>
  <si>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</si>
  <si>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</si>
  <si>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</si>
  <si>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</si>
  <si>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</si>
  <si>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</si>
  <si>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</si>
  <si>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</si>
  <si>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</si>
  <si>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</si>
  <si>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</si>
  <si>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</si>
  <si>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</si>
  <si>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</si>
  <si>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</si>
  <si>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</si>
  <si>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</si>
  <si>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</si>
  <si>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</si>
  <si>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</si>
  <si>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</si>
  <si>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</si>
  <si>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</si>
  <si>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</si>
  <si>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</si>
  <si>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</si>
  <si>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</si>
  <si>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</si>
  <si>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</si>
  <si>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</si>
  <si>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</si>
  <si>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</si>
  <si>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</si>
  <si>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</si>
  <si>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</si>
  <si>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</si>
  <si>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</si>
  <si>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</si>
  <si>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</si>
  <si>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</si>
  <si>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</si>
  <si>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</si>
  <si>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</si>
  <si>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</si>
  <si>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</si>
  <si>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</si>
  <si>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</si>
  <si>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</si>
  <si>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</si>
  <si>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</si>
  <si>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</si>
  <si>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</si>
  <si>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</si>
  <si>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</si>
  <si>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</si>
  <si>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</si>
  <si>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</si>
  <si>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</si>
  <si>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</si>
  <si>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</si>
  <si>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</si>
  <si>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</si>
  <si>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</si>
  <si>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</si>
  <si>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</si>
  <si>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</si>
  <si>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</si>
  <si>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</si>
  <si>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</si>
  <si>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</si>
  <si>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</si>
  <si>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</si>
  <si>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</si>
  <si>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</si>
  <si>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</si>
  <si>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</si>
  <si>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</si>
  <si>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</si>
  <si>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</si>
  <si>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</si>
  <si>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</si>
  <si>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</si>
  <si>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</si>
  <si>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</si>
  <si>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</si>
  <si>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</si>
  <si>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</si>
  <si>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</si>
  <si>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</si>
  <si>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</si>
  <si>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</si>
  <si>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</si>
  <si>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</si>
  <si>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</si>
  <si>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</si>
  <si>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</si>
  <si>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</si>
  <si>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</si>
  <si>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</si>
  <si>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</si>
  <si>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</si>
  <si>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</si>
  <si>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</si>
  <si>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</si>
  <si>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</si>
  <si>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</si>
  <si>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</si>
  <si>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</si>
  <si>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</si>
  <si>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</si>
  <si>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</si>
  <si>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</si>
  <si>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</si>
  <si>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</si>
  <si>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</si>
  <si>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</si>
  <si>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</si>
  <si>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</si>
  <si>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</si>
  <si>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</si>
  <si>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</si>
  <si>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</si>
  <si>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</si>
  <si>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</si>
  <si>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</si>
  <si>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</si>
  <si>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</si>
  <si>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</si>
  <si>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</si>
  <si>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</si>
  <si>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</si>
  <si>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</si>
  <si>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</si>
  <si>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</si>
  <si>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</si>
  <si>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</si>
  <si>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</si>
  <si>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</si>
  <si>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</si>
  <si>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</si>
  <si>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</si>
  <si>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</si>
  <si>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</si>
  <si>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</si>
  <si>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</si>
  <si>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</si>
  <si>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</si>
  <si>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</si>
  <si>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</si>
  <si>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</si>
  <si>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</si>
  <si>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</si>
  <si>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</si>
  <si>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</si>
  <si>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</si>
  <si>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</si>
  <si>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</si>
  <si>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</si>
  <si>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</si>
  <si>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</si>
  <si>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</si>
  <si>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</si>
  <si>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</si>
  <si>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</si>
  <si>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</si>
  <si>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</si>
  <si>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</si>
  <si>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</si>
  <si>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</si>
  <si>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</si>
  <si>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</si>
  <si>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</si>
  <si>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</si>
  <si>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</si>
  <si>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</si>
  <si>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</si>
  <si>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</si>
  <si>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</si>
  <si>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</si>
  <si>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</si>
  <si>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</si>
  <si>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</si>
  <si>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</si>
  <si>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</si>
  <si>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</si>
  <si>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</si>
  <si>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</si>
  <si>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</si>
  <si>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</si>
  <si>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</si>
  <si>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</si>
  <si>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</si>
  <si>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</si>
  <si>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</si>
  <si>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</si>
  <si>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</si>
  <si>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</si>
  <si>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</si>
  <si>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</si>
  <si>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</si>
  <si>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</si>
  <si>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</si>
  <si>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</si>
  <si>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</si>
  <si>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</si>
  <si>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</si>
  <si>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</si>
  <si>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</si>
  <si>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</si>
  <si>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</si>
  <si>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</si>
  <si>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</si>
  <si>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</si>
  <si>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</si>
  <si>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</si>
  <si>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</si>
  <si>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</si>
  <si>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</si>
  <si>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</si>
  <si>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</si>
  <si>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</si>
  <si>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</si>
  <si>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</si>
  <si>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</si>
  <si>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</si>
  <si>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</si>
  <si>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</si>
  <si>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</si>
  <si>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</si>
  <si>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</si>
  <si>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</si>
  <si>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</si>
  <si>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</si>
  <si>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</si>
  <si>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</si>
  <si>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</si>
  <si>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</si>
  <si>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</si>
  <si>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</si>
  <si>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</si>
  <si>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</si>
  <si>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</si>
  <si>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</si>
  <si>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</si>
  <si>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</si>
  <si>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</si>
  <si>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</si>
  <si>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</si>
  <si>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</si>
  <si>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</si>
  <si>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</si>
  <si>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</si>
  <si>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</si>
  <si>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</si>
  <si>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</si>
  <si>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</si>
  <si>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</si>
  <si>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</si>
  <si>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</si>
  <si>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</si>
  <si>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</si>
  <si>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</si>
  <si>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</si>
  <si>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</si>
  <si>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</si>
  <si>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</si>
  <si>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</si>
  <si>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</si>
  <si>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</si>
  <si>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</si>
  <si>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</si>
  <si>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</si>
  <si>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</si>
  <si>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</si>
  <si>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</si>
  <si>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</si>
  <si>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</si>
  <si>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</si>
  <si>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</si>
  <si>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</si>
  <si>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</si>
  <si>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</si>
  <si>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</si>
  <si>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</si>
  <si>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</si>
  <si>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</si>
  <si>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</si>
  <si>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</si>
  <si>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</si>
  <si>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</si>
  <si>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</si>
  <si>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</si>
  <si>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</si>
  <si>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</si>
  <si>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</si>
  <si>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</si>
  <si>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</si>
  <si>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</si>
  <si>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</si>
  <si>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</si>
  <si>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</si>
  <si>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</si>
  <si>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</si>
  <si>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</si>
  <si>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</si>
  <si>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</si>
  <si>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</si>
  <si>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</si>
  <si>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</si>
  <si>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</si>
  <si>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</si>
  <si>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</si>
  <si>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</si>
  <si>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</si>
  <si>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</si>
  <si>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</si>
  <si>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</si>
  <si>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</si>
  <si>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</si>
  <si>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</si>
  <si>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</si>
  <si>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</si>
  <si>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</si>
  <si>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</si>
  <si>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</si>
  <si>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</si>
  <si>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</si>
  <si>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</si>
  <si>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</si>
  <si>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</si>
  <si>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</si>
  <si>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</si>
  <si>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</si>
  <si>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</si>
  <si>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</si>
  <si>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</si>
  <si>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</si>
  <si>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</si>
  <si>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</si>
  <si>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</si>
  <si>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</si>
  <si>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</si>
  <si>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</si>
  <si>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</si>
  <si>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</si>
  <si>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</si>
  <si>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</si>
  <si>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</si>
  <si>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</si>
  <si>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</si>
  <si>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</si>
  <si>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</si>
  <si>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</si>
  <si>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</si>
  <si>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</si>
  <si>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</si>
  <si>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</si>
  <si>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</si>
  <si>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</si>
  <si>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</si>
  <si>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</si>
  <si>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</si>
  <si>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</si>
  <si>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</si>
  <si>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</si>
  <si>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</si>
  <si>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</si>
  <si>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</si>
  <si>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</si>
  <si>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</si>
  <si>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</si>
  <si>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</si>
  <si>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</si>
  <si>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</si>
  <si>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</si>
  <si>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</si>
  <si>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</si>
  <si>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</si>
  <si>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</si>
  <si>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</si>
  <si>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</si>
  <si>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</si>
  <si>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</si>
  <si>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</si>
  <si>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</si>
  <si>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</si>
  <si>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</si>
  <si>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</si>
  <si>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</si>
  <si>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</si>
  <si>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</si>
  <si>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</si>
  <si>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</si>
  <si>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</si>
  <si>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</si>
  <si>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</si>
  <si>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</si>
  <si>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</si>
  <si>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</si>
  <si>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</si>
  <si>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</si>
  <si>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</si>
  <si>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</si>
  <si>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</si>
  <si>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</si>
  <si>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</si>
  <si>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</si>
  <si>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</si>
  <si>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</si>
  <si>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</si>
  <si>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</si>
  <si>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</si>
  <si>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</si>
  <si>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</si>
  <si>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</si>
  <si>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</si>
  <si>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</si>
  <si>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</si>
  <si>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</si>
  <si>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</si>
  <si>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</si>
  <si>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</si>
  <si>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</si>
  <si>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</si>
  <si>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</si>
  <si>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</si>
  <si>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</si>
  <si>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</si>
  <si>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</si>
  <si>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</si>
  <si>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</si>
  <si>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</si>
  <si>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</si>
  <si>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</si>
  <si>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</si>
  <si>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</si>
  <si>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</si>
  <si>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</si>
  <si>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</si>
  <si>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</si>
  <si>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</si>
  <si>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</si>
  <si>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</si>
  <si>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</si>
  <si>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</si>
  <si>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</si>
  <si>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</si>
  <si>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</si>
  <si>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</si>
  <si>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</si>
  <si>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</si>
  <si>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</si>
  <si>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</si>
  <si>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</si>
  <si>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</si>
  <si>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</si>
  <si>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</si>
  <si>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</si>
  <si>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</si>
  <si>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</si>
  <si>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</si>
  <si>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</si>
  <si>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</si>
  <si>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</si>
  <si>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</si>
  <si>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</si>
  <si>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</si>
  <si>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</si>
  <si>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</si>
  <si>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</si>
  <si>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</si>
  <si>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</si>
  <si>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</si>
  <si>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</si>
  <si>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</si>
  <si>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</si>
  <si>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</si>
  <si>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</si>
  <si>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</si>
  <si>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</si>
  <si>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</si>
  <si>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</si>
  <si>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</si>
  <si>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</si>
  <si>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</si>
  <si>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</si>
  <si>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</si>
  <si>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</si>
  <si>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</si>
  <si>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</si>
  <si>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</si>
  <si>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</si>
  <si>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</si>
  <si>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</si>
  <si>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</si>
  <si>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</si>
  <si>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</si>
  <si>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</si>
  <si>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</si>
  <si>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</si>
  <si>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</si>
  <si>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</si>
  <si>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</si>
  <si>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</si>
  <si>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</si>
  <si>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</si>
  <si>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</si>
  <si>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</si>
  <si>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</si>
  <si>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</si>
  <si>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</si>
  <si>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</si>
  <si>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</si>
  <si>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</si>
  <si>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</si>
  <si>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</si>
  <si>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</si>
  <si>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</si>
  <si>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</si>
  <si>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</si>
  <si>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</si>
  <si>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</si>
  <si>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</si>
  <si>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</si>
  <si>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</si>
  <si>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</si>
  <si>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</si>
  <si>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</si>
  <si>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</si>
  <si>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</si>
  <si>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</si>
  <si>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</si>
  <si>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</si>
  <si>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</si>
  <si>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</si>
  <si>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</si>
  <si>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</si>
  <si>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</si>
  <si>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</si>
  <si>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</si>
  <si>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</si>
  <si>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</si>
  <si>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</si>
  <si>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</si>
  <si>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</si>
  <si>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</si>
  <si>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</si>
  <si>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</si>
  <si>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</si>
  <si>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</si>
  <si>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</si>
  <si>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</si>
  <si>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</si>
  <si>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</si>
  <si>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</si>
  <si>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</si>
  <si>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</si>
  <si>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</si>
  <si>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</si>
  <si>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</si>
  <si>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</si>
  <si>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</si>
  <si>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</si>
  <si>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</si>
  <si>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</si>
  <si>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</si>
  <si>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</si>
  <si>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</si>
  <si>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</si>
  <si>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</si>
  <si>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</si>
  <si>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</si>
  <si>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</si>
  <si>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</si>
  <si>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</si>
  <si>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</si>
  <si>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</si>
  <si>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</si>
  <si>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</si>
  <si>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</si>
  <si>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</si>
  <si>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</si>
  <si>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</si>
  <si>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</si>
  <si>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</si>
  <si>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</si>
  <si>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</si>
  <si>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</si>
  <si>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</si>
  <si>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</si>
  <si>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</si>
  <si>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</si>
  <si>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</si>
  <si>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</si>
  <si>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</si>
  <si>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</si>
  <si>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</si>
  <si>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</si>
  <si>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</si>
  <si>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</si>
  <si>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</si>
  <si>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</si>
  <si>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</si>
  <si>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</si>
  <si>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</si>
  <si>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</si>
  <si>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</si>
  <si>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</si>
  <si>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</si>
  <si>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</si>
  <si>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</si>
  <si>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</si>
  <si>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</si>
  <si>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</si>
  <si>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</si>
  <si>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</si>
  <si>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</si>
  <si>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</si>
  <si>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</si>
  <si>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</si>
  <si>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</si>
  <si>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</si>
  <si>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</si>
  <si>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</si>
  <si>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</si>
  <si>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</si>
  <si>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</si>
  <si>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</si>
  <si>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</si>
  <si>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</si>
  <si>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</si>
  <si>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</si>
  <si>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</si>
  <si>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</si>
  <si>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</si>
  <si>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</si>
  <si>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</si>
  <si>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</si>
  <si>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</si>
  <si>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</si>
  <si>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</si>
  <si>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</si>
  <si>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</si>
  <si>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</si>
  <si>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</si>
  <si>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</si>
  <si>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</si>
  <si>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</si>
  <si>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</si>
  <si>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</si>
  <si>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</si>
  <si>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</si>
  <si>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</si>
  <si>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</si>
  <si>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</si>
  <si>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</si>
  <si>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</si>
  <si>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</si>
  <si>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</si>
  <si>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</si>
  <si>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</si>
  <si>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</si>
  <si>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</si>
  <si>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</si>
  <si>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</si>
  <si>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</si>
  <si>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</si>
  <si>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</si>
  <si>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</si>
  <si>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</si>
  <si>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</si>
  <si>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</si>
  <si>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</si>
  <si>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</si>
  <si>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</si>
  <si>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</si>
  <si>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</si>
  <si>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</si>
  <si>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</si>
  <si>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</si>
  <si>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</si>
  <si>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</si>
  <si>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</si>
  <si>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</si>
  <si>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</si>
  <si>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</si>
  <si>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</si>
  <si>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</si>
  <si>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</si>
  <si>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</si>
  <si>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</si>
  <si>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</si>
  <si>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</si>
  <si>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</si>
  <si>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</si>
  <si>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</si>
  <si>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</si>
  <si>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</si>
  <si>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</si>
  <si>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</si>
  <si>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</si>
  <si>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</si>
  <si>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</si>
  <si>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</si>
  <si>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</si>
  <si>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</si>
  <si>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</si>
  <si>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</si>
  <si>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</si>
  <si>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</si>
  <si>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</si>
  <si>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</si>
  <si>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</si>
  <si>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</si>
  <si>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</si>
  <si>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</si>
  <si>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</si>
  <si>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</si>
  <si>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</si>
  <si>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</si>
  <si>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</si>
  <si>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</si>
  <si>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</si>
  <si>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</si>
  <si>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</si>
  <si>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</si>
  <si>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</si>
  <si>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</si>
  <si>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</si>
  <si>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</si>
  <si>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</si>
  <si>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</si>
  <si>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</si>
  <si>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</si>
  <si>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</si>
  <si>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</si>
  <si>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</si>
  <si>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</si>
  <si>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</si>
  <si>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</si>
  <si>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</si>
  <si>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</si>
  <si>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</si>
  <si>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</si>
  <si>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</si>
  <si>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</si>
  <si>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</si>
  <si>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</si>
  <si>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</si>
  <si>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</si>
  <si>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</si>
  <si>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</si>
  <si>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</si>
  <si>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</si>
  <si>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</si>
  <si>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</si>
  <si>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</si>
  <si>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</si>
  <si>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</si>
  <si>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</si>
  <si>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</si>
  <si>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</si>
  <si>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</si>
  <si>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</si>
  <si>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</si>
  <si>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</si>
  <si>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</si>
  <si>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</si>
  <si>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</si>
  <si>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</si>
  <si>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</si>
  <si>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</si>
  <si>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</si>
  <si>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</si>
  <si>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</si>
  <si>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</si>
  <si>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</si>
  <si>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</si>
  <si>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</si>
  <si>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</si>
  <si>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</si>
  <si>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</si>
  <si>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</si>
  <si>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</si>
  <si>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</si>
  <si>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</si>
  <si>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</si>
  <si>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</si>
  <si>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</si>
  <si>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</si>
  <si>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</si>
  <si>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</si>
  <si>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</si>
  <si>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</si>
  <si>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</si>
  <si>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</si>
  <si>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</si>
  <si>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</si>
  <si>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</si>
  <si>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</si>
  <si>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</si>
  <si>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</si>
  <si>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</si>
  <si>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</si>
  <si>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</si>
  <si>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</si>
  <si>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</si>
  <si>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</si>
  <si>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</si>
  <si>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</si>
  <si>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</si>
  <si>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</si>
  <si>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</si>
  <si>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</si>
  <si>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</si>
  <si>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</si>
  <si>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</si>
  <si>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</si>
  <si>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</si>
  <si>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</si>
  <si>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</si>
  <si>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</si>
  <si>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</si>
  <si>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</si>
  <si>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</si>
  <si>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</si>
  <si>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</si>
  <si>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</si>
  <si>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</si>
  <si>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</si>
  <si>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</si>
  <si>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</si>
  <si>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</si>
  <si>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</si>
  <si>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</si>
  <si>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</si>
  <si>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</si>
  <si>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</si>
  <si>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</si>
  <si>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</si>
  <si>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</si>
  <si>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</si>
  <si>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</si>
  <si>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</si>
  <si>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</si>
  <si>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</si>
  <si>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</si>
  <si>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</si>
  <si>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</si>
  <si>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</si>
  <si>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</si>
  <si>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</si>
  <si>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</si>
  <si>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</si>
  <si>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</si>
  <si>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</si>
  <si>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</si>
  <si>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</si>
  <si>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</si>
  <si>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</si>
  <si>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</si>
  <si>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</si>
  <si>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</si>
  <si>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</si>
  <si>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</si>
  <si>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</si>
  <si>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</si>
  <si>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</si>
  <si>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</si>
  <si>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</si>
  <si>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</si>
  <si>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</si>
  <si>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</si>
  <si>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</si>
  <si>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</si>
  <si>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</si>
  <si>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</si>
  <si>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</si>
  <si>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</si>
  <si>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</si>
  <si>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</si>
  <si>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</si>
  <si>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</si>
  <si>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</si>
  <si>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</si>
  <si>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</si>
  <si>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</si>
  <si>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</si>
  <si>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</si>
  <si>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</si>
  <si>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</si>
  <si>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</si>
  <si>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</si>
  <si>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</si>
  <si>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</si>
  <si>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</si>
  <si>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</si>
  <si>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</si>
  <si>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</si>
  <si>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</si>
  <si>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</si>
  <si>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</si>
  <si>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</si>
  <si>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</si>
  <si>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</si>
  <si>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</si>
  <si>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</si>
  <si>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</si>
  <si>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</si>
  <si>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</si>
  <si>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</si>
  <si>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</si>
  <si>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</si>
  <si>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</si>
  <si>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</si>
  <si>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</si>
  <si>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</si>
  <si>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</si>
  <si>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</si>
  <si>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</si>
  <si>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</si>
  <si>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</si>
  <si>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</si>
  <si>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</si>
  <si>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</si>
  <si>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</si>
  <si>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</si>
  <si>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</si>
  <si>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</si>
  <si>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</si>
  <si>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</si>
  <si>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</si>
  <si>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</si>
  <si>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</si>
  <si>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</si>
  <si>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</si>
  <si>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</si>
  <si>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</si>
  <si>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</si>
  <si>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</si>
  <si>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</si>
  <si>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</si>
  <si>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</si>
  <si>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</si>
  <si>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</si>
  <si>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</si>
  <si>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</si>
  <si>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</si>
  <si>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</si>
  <si>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</si>
  <si>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</si>
  <si>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</si>
  <si>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</si>
  <si>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</si>
  <si>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</si>
  <si>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</si>
  <si>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</si>
  <si>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</si>
  <si>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</si>
  <si>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</si>
  <si>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</si>
  <si>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</si>
  <si>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</si>
  <si>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</si>
  <si>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</si>
  <si>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</si>
  <si>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</si>
  <si>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</si>
  <si>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</si>
  <si>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</si>
  <si>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</si>
  <si>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</si>
  <si>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</si>
  <si>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</si>
  <si>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</si>
  <si>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</si>
  <si>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</si>
  <si>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</si>
  <si>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</si>
  <si>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</si>
  <si>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</si>
  <si>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</si>
  <si>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</si>
  <si>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</si>
  <si>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</si>
  <si>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</si>
  <si>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</si>
  <si>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</si>
  <si>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</si>
  <si>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</si>
  <si>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</si>
  <si>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</si>
  <si>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</si>
  <si>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</si>
  <si>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</si>
  <si>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</si>
  <si>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</si>
  <si>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</si>
  <si>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</si>
  <si>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</si>
  <si>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</si>
  <si>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</si>
  <si>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</si>
  <si>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</si>
  <si>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</si>
  <si>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</si>
  <si>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</si>
  <si>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</si>
  <si>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</si>
  <si>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</si>
  <si>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</si>
  <si>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</si>
  <si>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</si>
  <si>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</si>
  <si>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</si>
  <si>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</si>
  <si>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</si>
  <si>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</si>
  <si>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</si>
  <si>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</si>
  <si>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</si>
  <si>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</si>
  <si>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</si>
  <si>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</si>
  <si>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</si>
  <si>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</si>
  <si>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</si>
  <si>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</si>
  <si>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</si>
  <si>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</si>
  <si>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</si>
  <si>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</si>
  <si>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</si>
  <si>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</si>
  <si>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</si>
  <si>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</si>
  <si>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</si>
  <si>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</si>
  <si>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</si>
  <si>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</si>
  <si>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</si>
  <si>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</si>
  <si>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</si>
  <si>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</si>
  <si>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</si>
  <si>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</si>
  <si>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</si>
  <si>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</si>
  <si>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</si>
  <si>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</si>
  <si>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</si>
  <si>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</si>
  <si>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</si>
  <si>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</si>
  <si>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</si>
  <si>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</si>
  <si>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</si>
  <si>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</si>
  <si>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</si>
  <si>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</si>
  <si>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</si>
  <si>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</si>
  <si>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</si>
  <si>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</si>
  <si>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</si>
  <si>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</si>
  <si>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</si>
  <si>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</si>
  <si>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</si>
  <si>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</si>
  <si>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</si>
  <si>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</si>
  <si>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</si>
  <si>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</si>
  <si>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</si>
  <si>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</si>
  <si>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</si>
  <si>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</si>
  <si>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</si>
  <si>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</si>
  <si>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</si>
  <si>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</si>
  <si>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</si>
  <si>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</si>
  <si>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</si>
  <si>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</si>
  <si>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</si>
  <si>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</si>
  <si>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</si>
  <si>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</si>
  <si>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</si>
  <si>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</si>
  <si>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</si>
  <si>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</si>
  <si>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</si>
  <si>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</si>
  <si>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</si>
  <si>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</si>
  <si>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</si>
  <si>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</si>
  <si>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</si>
  <si>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</si>
  <si>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</si>
  <si>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</si>
  <si>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</si>
  <si>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</si>
  <si>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</si>
  <si>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</si>
  <si>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</si>
  <si>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</si>
  <si>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</si>
  <si>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</si>
  <si>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</si>
  <si>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</si>
  <si>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</si>
  <si>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</si>
  <si>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</si>
  <si>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</si>
  <si>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</si>
  <si>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</si>
  <si>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</si>
  <si>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</si>
  <si>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</si>
  <si>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</si>
  <si>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</si>
  <si>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</si>
  <si>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</si>
  <si>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</si>
  <si>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</si>
  <si>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</si>
  <si>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</si>
  <si>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</si>
  <si>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</si>
  <si>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</si>
  <si>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</si>
  <si>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</si>
  <si>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</si>
  <si>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</si>
  <si>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</si>
  <si>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</si>
  <si>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</si>
  <si>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</si>
  <si>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</si>
  <si>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</si>
  <si>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</si>
  <si>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</si>
  <si>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</si>
  <si>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</si>
  <si>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</si>
  <si>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</si>
  <si>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</si>
  <si>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</si>
  <si>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</si>
  <si>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</si>
  <si>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</si>
  <si>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</si>
  <si>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</si>
  <si>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</si>
  <si>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</si>
  <si>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</si>
  <si>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</si>
  <si>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</si>
  <si>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</si>
  <si>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</si>
  <si>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</si>
  <si>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</si>
  <si>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</si>
  <si>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</si>
  <si>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</si>
  <si>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</si>
  <si>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</si>
  <si>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</si>
  <si>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</si>
  <si>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</si>
  <si>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</si>
  <si>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</si>
  <si>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</si>
  <si>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</si>
  <si>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</si>
  <si>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</si>
  <si>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</si>
  <si>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</si>
  <si>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</si>
  <si>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</si>
  <si>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</si>
  <si>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</si>
  <si>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</si>
  <si>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</si>
  <si>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</si>
  <si>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</si>
  <si>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</si>
  <si>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</si>
  <si>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</si>
  <si>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</si>
  <si>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</si>
  <si>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</si>
  <si>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</si>
  <si>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</si>
  <si>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</si>
  <si>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</si>
  <si>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</si>
  <si>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</si>
  <si>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</si>
  <si>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</si>
  <si>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</si>
  <si>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</si>
  <si>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</si>
  <si>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</si>
  <si>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</si>
  <si>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</si>
  <si>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</si>
  <si>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</si>
  <si>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</si>
  <si>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</si>
  <si>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</si>
  <si>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</si>
  <si>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</si>
  <si>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</si>
  <si>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</si>
  <si>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</si>
  <si>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</si>
  <si>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</si>
  <si>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</si>
  <si>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</si>
  <si>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</si>
  <si>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</si>
  <si>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</si>
  <si>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</si>
  <si>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</si>
  <si>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</si>
  <si>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</si>
  <si>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</si>
  <si>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</si>
  <si>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</si>
  <si>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</si>
  <si>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</si>
  <si>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</si>
  <si>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</si>
  <si>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</si>
  <si>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</si>
  <si>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</si>
  <si>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</si>
  <si>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</si>
  <si>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</si>
  <si>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</si>
  <si>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</si>
  <si>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</si>
  <si>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</si>
  <si>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</si>
  <si>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</si>
  <si>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</si>
  <si>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</si>
  <si>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</si>
  <si>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</si>
  <si>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</si>
  <si>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</si>
  <si>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</si>
  <si>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</si>
  <si>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</si>
  <si>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</si>
  <si>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</si>
  <si>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</si>
  <si>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</si>
  <si>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</si>
  <si>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</si>
  <si>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</si>
  <si>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</si>
  <si>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</si>
  <si>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</si>
  <si>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</si>
  <si>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</si>
  <si>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</si>
  <si>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</si>
  <si>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</si>
  <si>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</si>
  <si>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</si>
  <si>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</si>
  <si>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</si>
  <si>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</si>
  <si>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</si>
  <si>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</si>
  <si>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</si>
  <si>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</si>
  <si>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</si>
  <si>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</si>
  <si>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</si>
  <si>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</si>
  <si>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</si>
  <si>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</si>
  <si>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</si>
  <si>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</si>
  <si>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</si>
  <si>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</si>
  <si>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</si>
  <si>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</si>
  <si>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</si>
  <si>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</si>
  <si>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</si>
  <si>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</si>
  <si>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</si>
  <si>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</si>
  <si>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</si>
  <si>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</si>
  <si>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</si>
  <si>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</si>
  <si>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</si>
  <si>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</si>
  <si>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</si>
  <si>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</si>
  <si>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</si>
  <si>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</si>
  <si>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</si>
  <si>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</si>
  <si>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</si>
  <si>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</si>
  <si>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</si>
  <si>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</si>
  <si>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</si>
  <si>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</si>
  <si>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</si>
  <si>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</si>
  <si>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</si>
  <si>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</si>
  <si>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</si>
  <si>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</si>
  <si>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</si>
  <si>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</si>
  <si>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</si>
  <si>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</si>
  <si>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</si>
  <si>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</si>
  <si>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</si>
  <si>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</si>
  <si>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</si>
  <si>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</si>
  <si>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</si>
  <si>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</si>
  <si>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</si>
  <si>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</si>
  <si>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</si>
  <si>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</si>
  <si>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</si>
  <si>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</si>
  <si>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</si>
  <si>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</si>
  <si>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</si>
  <si>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</si>
  <si>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</si>
  <si>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</si>
  <si>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</si>
  <si>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</si>
  <si>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</si>
  <si>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</si>
  <si>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</si>
  <si>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</si>
  <si>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</si>
  <si>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</si>
  <si>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</si>
  <si>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</si>
  <si>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</si>
  <si>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</si>
  <si>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</si>
  <si>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</si>
  <si>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</si>
  <si>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</si>
  <si>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</si>
  <si>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</si>
  <si>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</si>
  <si>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</si>
  <si>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</si>
  <si>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</si>
  <si>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</si>
  <si>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</si>
  <si>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</si>
  <si>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</si>
  <si>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</si>
  <si>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</si>
  <si>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</si>
  <si>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</si>
  <si>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</si>
  <si>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</si>
  <si>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</si>
  <si>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</si>
  <si>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</si>
  <si>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</si>
  <si>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</si>
  <si>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</si>
  <si>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</si>
  <si>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</si>
  <si>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</si>
  <si>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</si>
  <si>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</si>
  <si>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</si>
  <si>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</si>
  <si>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</si>
  <si>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</si>
  <si>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</si>
  <si>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</si>
  <si>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</si>
  <si>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</si>
  <si>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</si>
  <si>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</si>
  <si>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</si>
  <si>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</si>
  <si>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</si>
  <si>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</si>
  <si>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</si>
  <si>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</si>
  <si>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</si>
  <si>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</si>
  <si>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</si>
  <si>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</si>
  <si>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</si>
  <si>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</si>
  <si>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</si>
  <si>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</si>
  <si>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</si>
  <si>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</si>
  <si>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</si>
  <si>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</si>
  <si>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</si>
  <si>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</si>
  <si>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</si>
  <si>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</si>
  <si>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</si>
  <si>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</si>
  <si>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</si>
  <si>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</si>
  <si>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</si>
  <si>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</si>
  <si>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</si>
  <si>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</si>
  <si>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</si>
  <si>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</si>
  <si>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</si>
  <si>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</si>
  <si>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</si>
  <si>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</si>
  <si>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</si>
  <si>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</si>
  <si>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</si>
  <si>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</si>
  <si>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</si>
  <si>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</si>
  <si>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</si>
  <si>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</si>
  <si>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</si>
  <si>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</si>
  <si>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</si>
  <si>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</si>
  <si>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</si>
  <si>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</si>
  <si>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</si>
  <si>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</si>
  <si>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</si>
  <si>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</si>
  <si>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</si>
  <si>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</si>
  <si>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</si>
  <si>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</si>
  <si>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</si>
  <si>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</si>
  <si>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</si>
  <si>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</si>
  <si>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</si>
  <si>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</si>
  <si>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</si>
  <si>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</si>
  <si>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</si>
  <si>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</si>
  <si>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</si>
  <si>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</si>
  <si>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</si>
  <si>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</si>
  <si>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</si>
  <si>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</si>
  <si>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</si>
  <si>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</si>
  <si>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</si>
  <si>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</si>
  <si>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</si>
  <si>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</si>
  <si>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</si>
  <si>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</si>
  <si>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</si>
  <si>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</si>
  <si>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</si>
  <si>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</si>
  <si>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</si>
  <si>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</si>
  <si>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</si>
  <si>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</si>
  <si>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</si>
  <si>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</si>
  <si>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</si>
  <si>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</si>
  <si>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</si>
  <si>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</si>
  <si>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</si>
  <si>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</si>
  <si>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</si>
  <si>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</si>
  <si>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</si>
  <si>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</si>
  <si>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</si>
  <si>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</si>
  <si>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</si>
  <si>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</si>
  <si>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</si>
  <si>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</si>
  <si>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</si>
  <si>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</si>
  <si>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</si>
  <si>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</si>
  <si>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</si>
  <si>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</si>
  <si>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</si>
  <si>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</si>
  <si>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</si>
  <si>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</si>
  <si>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</si>
  <si>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</si>
  <si>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</si>
  <si>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</si>
  <si>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</si>
  <si>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</si>
  <si>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</si>
  <si>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</si>
  <si>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</si>
  <si>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</si>
  <si>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</si>
  <si>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</si>
  <si>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</si>
  <si>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</si>
  <si>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</si>
  <si>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</si>
  <si>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</si>
  <si>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</si>
  <si>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</si>
  <si>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</si>
  <si>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</si>
  <si>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</si>
  <si>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</si>
  <si>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</si>
  <si>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</si>
  <si>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</si>
  <si>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</si>
  <si>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</si>
  <si>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</si>
  <si>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</si>
  <si>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</si>
  <si>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</si>
  <si>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</si>
  <si>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</si>
  <si>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</si>
  <si>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</si>
  <si>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</si>
  <si>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</si>
  <si>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</si>
  <si>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</si>
  <si>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</si>
  <si>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</si>
  <si>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</si>
  <si>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</si>
  <si>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</si>
  <si>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</si>
  <si>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</si>
  <si>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</si>
  <si>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</si>
  <si>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</si>
  <si>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</si>
  <si>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</si>
  <si>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</si>
  <si>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</si>
  <si>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</si>
  <si>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</si>
  <si>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</si>
  <si>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</si>
  <si>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</si>
  <si>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</si>
  <si>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</si>
  <si>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</si>
  <si>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</si>
  <si>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</si>
  <si>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</si>
  <si>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</si>
  <si>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</si>
  <si>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</si>
  <si>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</si>
  <si>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</si>
  <si>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</si>
  <si>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</si>
  <si>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</si>
  <si>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</si>
  <si>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</si>
  <si>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</si>
  <si>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</si>
  <si>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</si>
  <si>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</si>
  <si>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</si>
  <si>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</si>
  <si>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</si>
  <si>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</si>
  <si>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</si>
  <si>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</si>
  <si>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</si>
  <si>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</si>
  <si>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</si>
  <si>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</si>
  <si>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</si>
  <si>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</si>
  <si>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</si>
  <si>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</si>
  <si>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</si>
  <si>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</si>
  <si>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</si>
  <si>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</si>
  <si>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</si>
  <si>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</si>
  <si>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</si>
  <si>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</si>
  <si>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</si>
  <si>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</si>
  <si>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</si>
  <si>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</si>
  <si>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</si>
  <si>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</si>
  <si>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</si>
  <si>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</si>
  <si>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</si>
  <si>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</si>
  <si>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</si>
  <si>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</si>
  <si>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</si>
  <si>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</si>
  <si>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</si>
  <si>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</si>
  <si>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</si>
  <si>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</si>
  <si>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</si>
  <si>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</si>
  <si>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</si>
  <si>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</si>
  <si>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</si>
  <si>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</si>
  <si>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</si>
  <si>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</si>
  <si>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</si>
  <si>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</si>
  <si>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</si>
  <si>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</si>
  <si>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</si>
  <si>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</si>
  <si>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</si>
  <si>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</si>
  <si>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</si>
  <si>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</si>
  <si>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</si>
  <si>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</si>
  <si>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</si>
  <si>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</si>
  <si>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</si>
  <si>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</si>
  <si>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</si>
  <si>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</si>
  <si>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</si>
  <si>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</si>
  <si>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</si>
  <si>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</si>
  <si>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</si>
  <si>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</si>
  <si>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</si>
  <si>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</si>
  <si>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</si>
  <si>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</si>
  <si>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</si>
  <si>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</si>
  <si>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</si>
  <si>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</si>
  <si>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</si>
  <si>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</si>
  <si>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</si>
  <si>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</si>
  <si>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</si>
  <si>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</si>
  <si>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</si>
  <si>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</si>
  <si>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</si>
  <si>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</si>
  <si>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</si>
  <si>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</si>
  <si>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</si>
  <si>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</si>
  <si>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</si>
  <si>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</si>
  <si>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</si>
  <si>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</si>
  <si>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</si>
  <si>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</si>
  <si>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</si>
  <si>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</si>
  <si>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</si>
  <si>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</si>
  <si>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</si>
  <si>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</si>
  <si>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</si>
  <si>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</si>
  <si>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</si>
  <si>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</si>
  <si>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</si>
  <si>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</si>
  <si>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</si>
  <si>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</si>
  <si>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</si>
  <si>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</si>
  <si>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</si>
  <si>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</si>
  <si>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</si>
  <si>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</si>
  <si>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</si>
  <si>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</si>
  <si>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</si>
  <si>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</si>
  <si>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</si>
  <si>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</si>
  <si>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</si>
  <si>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</si>
  <si>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</si>
  <si>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</si>
  <si>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</si>
  <si>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</si>
  <si>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</si>
  <si>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</si>
  <si>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</si>
  <si>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</si>
  <si>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</si>
  <si>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</si>
  <si>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</si>
  <si>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</si>
  <si>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</si>
  <si>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</si>
  <si>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</si>
  <si>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</si>
  <si>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</si>
  <si>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</si>
  <si>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</si>
  <si>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</si>
  <si>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</si>
  <si>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</si>
  <si>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</si>
  <si>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</si>
  <si>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</si>
  <si>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</si>
  <si>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</si>
  <si>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</si>
  <si>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</si>
  <si>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</si>
  <si>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</si>
  <si>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</si>
  <si>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</si>
  <si>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</si>
  <si>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</si>
  <si>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</si>
  <si>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</si>
  <si>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</si>
  <si>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</si>
  <si>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</si>
  <si>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</si>
  <si>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</si>
  <si>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</si>
  <si>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</si>
  <si>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</si>
  <si>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</si>
  <si>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</si>
  <si>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</si>
  <si>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</si>
  <si>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</si>
  <si>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</si>
  <si>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</si>
  <si>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</si>
  <si>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</si>
  <si>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</si>
  <si>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</si>
  <si>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</si>
  <si>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</si>
  <si>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</si>
  <si>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</si>
  <si>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</si>
  <si>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</si>
  <si>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</si>
  <si>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</si>
  <si>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</si>
  <si>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</si>
  <si>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</si>
  <si>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</si>
  <si>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</si>
  <si>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</si>
  <si>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</si>
  <si>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</si>
  <si>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</si>
  <si>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</si>
  <si>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</si>
  <si>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</si>
  <si>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</si>
  <si>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</si>
  <si>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</si>
  <si>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</si>
  <si>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</si>
  <si>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</si>
  <si>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</si>
  <si>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</si>
  <si>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</si>
  <si>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</si>
  <si>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</si>
  <si>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</si>
  <si>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</si>
  <si>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</si>
  <si>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</si>
  <si>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</si>
  <si>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</si>
  <si>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</si>
  <si>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</si>
  <si>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</si>
  <si>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</si>
  <si>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</si>
  <si>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</si>
  <si>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</si>
  <si>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</si>
  <si>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</si>
  <si>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</si>
  <si>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</si>
  <si>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</si>
  <si>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</si>
  <si>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</si>
  <si>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</si>
  <si>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</si>
  <si>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</si>
  <si>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</si>
  <si>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</si>
  <si>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</si>
  <si>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</si>
  <si>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</si>
  <si>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</si>
  <si>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</si>
  <si>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</si>
  <si>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</si>
  <si>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</si>
  <si>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</si>
  <si>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</si>
  <si>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</si>
  <si>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</si>
  <si>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</si>
  <si>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</si>
  <si>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</si>
  <si>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</si>
  <si>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</si>
  <si>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</si>
  <si>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</si>
  <si>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</si>
  <si>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</si>
  <si>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</si>
  <si>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</si>
  <si>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</si>
  <si>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</si>
  <si>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</si>
  <si>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</si>
  <si>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</si>
  <si>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</si>
  <si>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</si>
  <si>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</si>
  <si>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</si>
  <si>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</si>
  <si>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</si>
  <si>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</si>
  <si>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</si>
  <si>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</si>
  <si>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</si>
  <si>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</si>
  <si>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</si>
  <si>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</si>
  <si>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</si>
  <si>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</si>
  <si>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</si>
  <si>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</si>
  <si>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</si>
  <si>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</si>
  <si>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</si>
  <si>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</si>
  <si>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</si>
  <si>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</si>
  <si>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</si>
  <si>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</si>
  <si>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</si>
  <si>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</si>
  <si>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</si>
  <si>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</si>
  <si>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</si>
  <si>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</si>
  <si>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</si>
  <si>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</si>
  <si>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</si>
  <si>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</si>
  <si>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</si>
  <si>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</si>
  <si>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</si>
  <si>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</si>
  <si>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</si>
  <si>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</si>
  <si>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</si>
  <si>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</si>
  <si>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</si>
  <si>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</si>
  <si>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</si>
  <si>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</si>
  <si>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</si>
  <si>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</si>
  <si>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</si>
  <si>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</si>
  <si>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</si>
  <si>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</si>
  <si>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</si>
  <si>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</si>
  <si>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</si>
  <si>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</si>
  <si>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</si>
  <si>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</si>
  <si>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</si>
  <si>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</si>
  <si>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</si>
  <si>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</si>
  <si>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</si>
  <si>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</si>
  <si>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</si>
  <si>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</si>
  <si>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</si>
  <si>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</si>
  <si>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</si>
  <si>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</si>
  <si>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</si>
  <si>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</si>
  <si>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</si>
  <si>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</si>
  <si>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</si>
  <si>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</si>
  <si>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</si>
  <si>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</si>
  <si>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</si>
  <si>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</si>
  <si>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</si>
  <si>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</si>
  <si>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</si>
  <si>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</si>
  <si>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</si>
  <si>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</si>
  <si>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</si>
  <si>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</si>
  <si>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</si>
  <si>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</si>
  <si>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</si>
  <si>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</si>
  <si>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</si>
  <si>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</si>
  <si>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</si>
  <si>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</si>
  <si>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</si>
  <si>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</si>
  <si>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</si>
  <si>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</si>
  <si>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</si>
  <si>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</si>
  <si>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</si>
  <si>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</si>
  <si>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</si>
  <si>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</si>
  <si>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</si>
  <si>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</si>
  <si>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</si>
  <si>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</si>
  <si>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</si>
  <si>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</si>
  <si>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</si>
  <si>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</si>
  <si>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</si>
  <si>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</si>
  <si>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</si>
  <si>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</si>
  <si>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</si>
  <si>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</si>
  <si>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</si>
  <si>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</si>
  <si>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</si>
  <si>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</si>
  <si>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</si>
  <si>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</si>
  <si>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</si>
  <si>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</si>
  <si>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</si>
  <si>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</si>
  <si>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</si>
  <si>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</si>
  <si>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</si>
  <si>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</si>
  <si>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</si>
  <si>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</si>
  <si>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</si>
  <si>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</si>
  <si>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</si>
  <si>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</si>
  <si>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</si>
  <si>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</si>
  <si>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</si>
  <si>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</si>
  <si>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</si>
  <si>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</si>
  <si>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</si>
  <si>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</si>
  <si>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</si>
  <si>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</si>
  <si>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</si>
  <si>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</si>
  <si>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</si>
  <si>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</si>
  <si>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</si>
  <si>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</si>
  <si>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</si>
  <si>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</si>
  <si>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</si>
  <si>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</si>
  <si>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</si>
  <si>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</si>
  <si>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</si>
  <si>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</si>
  <si>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</si>
  <si>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</si>
  <si>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</si>
  <si>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</si>
  <si>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</si>
  <si>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</si>
  <si>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</si>
  <si>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</si>
  <si>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</si>
  <si>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</si>
  <si>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</si>
  <si>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</si>
  <si>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</si>
  <si>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</si>
  <si>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</si>
  <si>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</si>
  <si>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</si>
  <si>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</si>
  <si>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</si>
  <si>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</si>
  <si>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</si>
  <si>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</si>
  <si>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</si>
  <si>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</si>
  <si>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</si>
  <si>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</si>
  <si>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</si>
  <si>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</si>
  <si>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</si>
  <si>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</si>
  <si>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</si>
  <si>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</si>
  <si>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</si>
  <si>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</si>
  <si>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</si>
  <si>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</si>
  <si>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</si>
  <si>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</si>
  <si>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</si>
  <si>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</si>
  <si>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</si>
  <si>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</si>
  <si>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</si>
  <si>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</si>
  <si>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</si>
  <si>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</si>
  <si>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</si>
  <si>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</si>
  <si>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</si>
  <si>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</si>
  <si>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</si>
  <si>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</si>
  <si>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</si>
  <si>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</si>
  <si>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</si>
  <si>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</si>
  <si>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</si>
  <si>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</si>
  <si>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</si>
  <si>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</si>
  <si>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</si>
  <si>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</si>
  <si>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</si>
  <si>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</si>
  <si>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</si>
  <si>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</si>
  <si>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</si>
  <si>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</si>
  <si>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</si>
  <si>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</si>
  <si>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</si>
  <si>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</si>
  <si>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</si>
  <si>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</si>
  <si>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</si>
  <si>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</si>
  <si>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</si>
  <si>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</si>
  <si>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</si>
  <si>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</si>
  <si>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</si>
  <si>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</si>
  <si>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</si>
  <si>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</si>
  <si>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</si>
  <si>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</si>
  <si>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</si>
  <si>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</si>
  <si>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</si>
  <si>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</si>
  <si>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</si>
  <si>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</si>
  <si>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</si>
  <si>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</si>
  <si>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</si>
  <si>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</si>
  <si>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</si>
  <si>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</si>
  <si>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</si>
  <si>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</si>
  <si>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</si>
  <si>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</si>
  <si>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</si>
  <si>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</si>
  <si>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</si>
  <si>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</si>
  <si>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</si>
  <si>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</si>
  <si>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</si>
  <si>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</si>
  <si>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</si>
  <si>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</si>
  <si>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</si>
  <si>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</si>
  <si>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</si>
  <si>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</si>
  <si>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</si>
  <si>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</si>
  <si>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</si>
  <si>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</si>
  <si>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</si>
  <si>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</si>
  <si>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</si>
  <si>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</si>
  <si>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</si>
  <si>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</si>
  <si>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</si>
  <si>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</si>
  <si>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</si>
  <si>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</si>
  <si>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</si>
  <si>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</si>
  <si>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</si>
  <si>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</si>
  <si>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</si>
  <si>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</si>
  <si>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</si>
  <si>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</si>
  <si>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</si>
  <si>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</si>
  <si>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</si>
  <si>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</si>
  <si>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</si>
  <si>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</si>
  <si>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</si>
  <si>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</si>
  <si>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</si>
  <si>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</si>
  <si>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</si>
  <si>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</si>
  <si>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</si>
  <si>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</si>
  <si>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</si>
  <si>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</si>
  <si>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</si>
  <si>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</si>
  <si>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</si>
  <si>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</si>
  <si>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</si>
  <si>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</si>
  <si>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</si>
  <si>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</si>
  <si>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</si>
  <si>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</si>
  <si>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</si>
  <si>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</si>
  <si>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</si>
  <si>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</si>
  <si>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</si>
  <si>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</si>
  <si>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</si>
  <si>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</si>
  <si>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</si>
  <si>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</si>
  <si>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</si>
  <si>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</si>
  <si>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</si>
  <si>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</si>
  <si>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</si>
  <si>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</si>
  <si>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</si>
  <si>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</si>
  <si>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</si>
  <si>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</si>
  <si>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</si>
  <si>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</si>
  <si>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</si>
  <si>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</si>
  <si>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</si>
  <si>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</si>
  <si>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</si>
  <si>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</si>
  <si>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</si>
  <si>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</si>
  <si>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</si>
  <si>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</si>
  <si>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</si>
  <si>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</si>
  <si>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</si>
  <si>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</si>
  <si>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</si>
  <si>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</si>
  <si>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</si>
  <si>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</si>
  <si>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</si>
  <si>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</si>
  <si>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</si>
  <si>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</si>
  <si>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</si>
  <si>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</si>
  <si>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</si>
  <si>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</si>
  <si>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</si>
  <si>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</si>
  <si>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</si>
  <si>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</si>
  <si>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</si>
  <si>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</si>
  <si>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</si>
  <si>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</si>
  <si>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</si>
  <si>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</si>
  <si>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</si>
  <si>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</si>
  <si>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</si>
  <si>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</si>
  <si>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</si>
  <si>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</si>
  <si>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</si>
  <si>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</si>
  <si>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</si>
  <si>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</si>
  <si>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</si>
  <si>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</si>
  <si>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</si>
  <si>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</si>
  <si>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</si>
  <si>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</si>
  <si>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</si>
  <si>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</si>
  <si>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</si>
  <si>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</si>
  <si>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</si>
  <si>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</si>
  <si>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</si>
  <si>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</si>
  <si>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</si>
  <si>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</si>
  <si>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</si>
  <si>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</si>
  <si>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</si>
  <si>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</si>
  <si>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</si>
  <si>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</si>
  <si>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</si>
  <si>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</si>
  <si>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</si>
  <si>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</si>
  <si>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</si>
  <si>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</si>
  <si>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</si>
  <si>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</si>
  <si>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</si>
  <si>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</si>
  <si>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</si>
  <si>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</si>
  <si>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</si>
  <si>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</si>
  <si>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</si>
  <si>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</si>
  <si>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</si>
  <si>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</si>
  <si>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</si>
  <si>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</si>
  <si>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</si>
  <si>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</si>
  <si>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</si>
  <si>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</si>
  <si>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</si>
  <si>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</si>
  <si>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</si>
  <si>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</si>
  <si>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</si>
  <si>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</si>
  <si>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</si>
  <si>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</si>
  <si>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</si>
  <si>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</si>
  <si>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</si>
  <si>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</si>
  <si>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</si>
  <si>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</si>
  <si>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</si>
  <si>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</si>
  <si>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</si>
  <si>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</si>
  <si>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</si>
  <si>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</si>
  <si>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</si>
  <si>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</si>
  <si>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</si>
  <si>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</si>
  <si>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</si>
  <si>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</si>
  <si>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</si>
  <si>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</si>
  <si>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</si>
  <si>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</si>
  <si>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</si>
  <si>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</si>
  <si>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</si>
  <si>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</si>
  <si>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</si>
  <si>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</si>
  <si>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</si>
  <si>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</si>
  <si>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</si>
  <si>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</si>
  <si>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</si>
  <si>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</si>
  <si>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</si>
  <si>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</si>
  <si>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</si>
  <si>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</si>
  <si>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</si>
  <si>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</si>
  <si>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</si>
  <si>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</si>
  <si>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</si>
  <si>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</si>
  <si>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</si>
  <si>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</si>
  <si>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</si>
  <si>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</si>
  <si>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</si>
  <si>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</si>
  <si>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</si>
  <si>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</si>
  <si>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</si>
  <si>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</si>
  <si>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</si>
  <si>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NOVI PLAN 2023.</t>
  </si>
  <si>
    <t>50215 SVEUČILIŠTE J. J. STROSSMAYERA U OSIJEKU - AKADEMIJA ZA UMJETNOST I KULTURU U OSIJEKU</t>
  </si>
  <si>
    <t>Vesna Galić</t>
  </si>
  <si>
    <t>031/253306</t>
  </si>
  <si>
    <t>vesna.galic@uaos.hr</t>
  </si>
  <si>
    <t>Negativne tečajne razlike</t>
  </si>
  <si>
    <t>PLAN 2024.</t>
  </si>
  <si>
    <t>NOVI PLAN 2024.</t>
  </si>
  <si>
    <t>IZMJENE I DOPUNE FINANCIJSKOG PLANA 2024.</t>
  </si>
  <si>
    <t>2024.</t>
  </si>
  <si>
    <t>PLAN 2024</t>
  </si>
  <si>
    <t>NOVI PLAN 2024</t>
  </si>
  <si>
    <t>Stipendije i školarine</t>
  </si>
  <si>
    <t>sveučilišta i veleučilišta u Republici Hrvatskoj</t>
  </si>
  <si>
    <t>ERASMUS EDDU 2022</t>
  </si>
  <si>
    <t>ERASMUS EDU 2022</t>
  </si>
  <si>
    <t>Osijek, 30.11.2024.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</si>
</sst>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color theme="4" tint="-0.249977111117893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color theme="9" tint="-0.499984740745262"/>
      <name val="Arial"/>
      <family val="2"/>
      <charset val="238"/>
    </font>
    <font>
      <b/>
      <sz val="8"/>
      <color rgb="FF7030A0"/>
      <name val="Arial"/>
      <family val="2"/>
      <charset val="238"/>
    </font>
    <font>
      <b/>
      <sz val="8"/>
      <color theme="8" tint="0.39997558519241921"/>
      <name val="Arial"/>
      <family val="2"/>
      <charset val="238"/>
    </font>
    <font>
      <b/>
      <sz val="8"/>
      <color theme="2" tint="-0.749992370372631"/>
      <name val="Arial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9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6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7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8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9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90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91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80" fillId="0" borderId="1" xfId="18" applyNumberFormat="1" applyFont="1" applyFill="1" applyProtection="1">
      <alignment horizontal="right" vertical="center"/>
      <protection locked="0"/>
    </xf>
    <xf numFmtId="0" fontId="25" fillId="52" borderId="1" xfId="19" quotePrefix="1" applyNumberFormat="1" applyFont="1" applyFill="1" applyBorder="1">
      <alignment horizontal="left" vertical="center" indent="1" justifyLastLine="1"/>
    </xf>
    <xf numFmtId="0" fontId="24" fillId="52" borderId="1" xfId="0" applyFont="1" applyFill="1" applyBorder="1" applyAlignmen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P&#262;I%20DIO%20IZVR&#352;ENJE%20FP_I-VI%202023_predlo&#382;ak%20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50215 SVEUČILIŠTE J. J. STROSSMAYERA U OSIJEKU - AKADEMIJA ZA UMJETNOST I KULTURU U OSIJEKU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esna.galic@uaos.h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7" workbookViewId="0">
      <selection activeCell="I11" sqref="I11"/>
    </sheetView>
  </sheetViews>
  <sheetFormatPr defaultColWidth="14.44140625" defaultRowHeight="13.2"/>
  <cols>
    <col min="1" max="1" width="7.5546875" style="86" customWidth="1"/>
    <col min="2" max="2" width="36.109375" style="86" bestFit="1" customWidth="1"/>
    <col min="3" max="3" width="21.44140625" style="86" customWidth="1"/>
    <col min="4" max="4" width="21.109375" style="86" customWidth="1"/>
    <col min="5" max="5" width="21.6640625" style="86" customWidth="1"/>
    <col min="6" max="11" width="11.44140625" style="86" customWidth="1"/>
    <col min="12" max="12" width="16.44140625" style="86" customWidth="1"/>
    <col min="13" max="13" width="7.88671875" style="86" customWidth="1"/>
    <col min="14" max="14" width="97.5546875" style="86" customWidth="1"/>
    <col min="15" max="15" width="19.5546875" style="86" customWidth="1"/>
    <col min="16" max="18" width="11.44140625" style="86" customWidth="1"/>
    <col min="19" max="19" width="12.88671875" style="86" customWidth="1"/>
    <col min="20" max="26" width="11.44140625" style="86" customWidth="1"/>
    <col min="27" max="16384" width="14.441406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68" t="s">
        <v>5266</v>
      </c>
      <c r="D3" s="369"/>
      <c r="E3" s="370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" thickBot="1">
      <c r="A4" s="87"/>
      <c r="B4" s="124" t="s">
        <v>0</v>
      </c>
      <c r="C4" s="371" t="s">
        <v>5281</v>
      </c>
      <c r="D4" s="372"/>
      <c r="E4" s="373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" thickBot="1">
      <c r="A5" s="88"/>
      <c r="B5" s="124" t="s">
        <v>1</v>
      </c>
      <c r="C5" s="371" t="s">
        <v>5267</v>
      </c>
      <c r="D5" s="372"/>
      <c r="E5" s="373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" thickBot="1">
      <c r="A6" s="91"/>
      <c r="B6" s="124" t="s">
        <v>2</v>
      </c>
      <c r="C6" s="371" t="s">
        <v>5268</v>
      </c>
      <c r="D6" s="372"/>
      <c r="E6" s="373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" thickBot="1">
      <c r="A7" s="91"/>
      <c r="B7" s="124" t="s">
        <v>262</v>
      </c>
      <c r="C7" s="376" t="s">
        <v>5269</v>
      </c>
      <c r="D7" s="372"/>
      <c r="E7" s="373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4.4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9" t="s">
        <v>5273</v>
      </c>
      <c r="C9" s="378"/>
      <c r="D9" s="378"/>
      <c r="E9" s="378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9" t="s">
        <v>3</v>
      </c>
      <c r="C11" s="378"/>
      <c r="D11" s="378"/>
      <c r="E11" s="378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74" t="s">
        <v>5073</v>
      </c>
      <c r="C13" s="375"/>
      <c r="D13" s="375"/>
      <c r="E13" s="375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5271</v>
      </c>
      <c r="D15" s="330" t="s">
        <v>5264</v>
      </c>
      <c r="E15" s="330" t="s">
        <v>5272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5810452</v>
      </c>
      <c r="D16" s="96">
        <f>+D17+D18</f>
        <v>740239</v>
      </c>
      <c r="E16" s="96">
        <f>+E17+E18</f>
        <v>6550691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5810452</v>
      </c>
      <c r="D17" s="99">
        <f>+'A.1 PRIHODI'!C41</f>
        <v>740239</v>
      </c>
      <c r="E17" s="99">
        <f>+'A.1 PRIHODI'!C61</f>
        <v>6550691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5807787</v>
      </c>
      <c r="D19" s="103">
        <f>+D20+D21</f>
        <v>742904</v>
      </c>
      <c r="E19" s="103">
        <f>+E20+E21</f>
        <v>6550691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5748923</v>
      </c>
      <c r="D20" s="105">
        <v>702539</v>
      </c>
      <c r="E20" s="105">
        <v>6451462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58864</v>
      </c>
      <c r="D21" s="105">
        <v>40365</v>
      </c>
      <c r="E21" s="105">
        <v>99229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4.4">
      <c r="A22" s="95"/>
      <c r="B22" s="95" t="s">
        <v>10</v>
      </c>
      <c r="C22" s="96">
        <f>+C16-C19</f>
        <v>2665</v>
      </c>
      <c r="D22" s="96">
        <f>+D16-D19</f>
        <v>-2665</v>
      </c>
      <c r="E22" s="96">
        <f>+E16-E19</f>
        <v>0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77"/>
      <c r="C23" s="378"/>
      <c r="D23" s="378"/>
      <c r="E23" s="378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4.4">
      <c r="A24" s="224"/>
      <c r="B24" s="379" t="s">
        <v>5076</v>
      </c>
      <c r="C24" s="378"/>
      <c r="D24" s="378"/>
      <c r="E24" s="378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4.4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5271</v>
      </c>
      <c r="D26" s="330" t="s">
        <v>5264</v>
      </c>
      <c r="E26" s="330" t="s">
        <v>5272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28.8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28.8">
      <c r="A28" s="98">
        <v>5</v>
      </c>
      <c r="B28" s="95" t="s">
        <v>14</v>
      </c>
      <c r="C28" s="99">
        <f>+'B. RAČUN FIN'!C11</f>
        <v>2665</v>
      </c>
      <c r="D28" s="99">
        <v>-2665</v>
      </c>
      <c r="E28" s="99"/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28.8">
      <c r="A29" s="106" t="s">
        <v>11</v>
      </c>
      <c r="B29" s="285" t="s">
        <v>5074</v>
      </c>
      <c r="C29" s="104"/>
      <c r="D29" s="104"/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28.8">
      <c r="A30" s="106" t="s">
        <v>12</v>
      </c>
      <c r="B30" s="285" t="s">
        <v>5075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4.4">
      <c r="A31" s="95"/>
      <c r="B31" s="95" t="s">
        <v>15</v>
      </c>
      <c r="C31" s="103">
        <f>+C27-C28+C29+C30</f>
        <v>-2665</v>
      </c>
      <c r="D31" s="103">
        <f t="shared" ref="D31:E31" si="2">+D27-D28+D29+D30</f>
        <v>2665</v>
      </c>
      <c r="E31" s="103">
        <f t="shared" si="2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77"/>
      <c r="C32" s="378"/>
      <c r="D32" s="378"/>
      <c r="E32" s="378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14.4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4.4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4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4.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4.4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4.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4.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4.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4.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4.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4.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4.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4.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4.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4.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4.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4.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4.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4.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4.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4.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4.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6">
      <c r="A55" s="338"/>
      <c r="B55" s="380"/>
      <c r="C55" s="381"/>
      <c r="D55" s="381"/>
      <c r="E55" s="38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6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6">
      <c r="A57" s="338"/>
      <c r="B57" s="380"/>
      <c r="C57" s="381"/>
      <c r="D57" s="381"/>
      <c r="E57" s="38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6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6">
      <c r="A59" s="338"/>
      <c r="B59" s="380"/>
      <c r="C59" s="381"/>
      <c r="D59" s="381"/>
      <c r="E59" s="38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4.4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4.4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4.4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4.4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4.4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4.4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4.4">
      <c r="A69" s="338"/>
      <c r="B69" s="382"/>
      <c r="C69" s="381"/>
      <c r="D69" s="381"/>
      <c r="E69" s="38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6">
      <c r="A70" s="338"/>
      <c r="B70" s="380"/>
      <c r="C70" s="381"/>
      <c r="D70" s="381"/>
      <c r="E70" s="38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4.4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4.4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4.4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4.4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4.4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4.4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4.4">
      <c r="A78" s="338"/>
      <c r="B78" s="382"/>
      <c r="C78" s="381"/>
      <c r="D78" s="381"/>
      <c r="E78" s="381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4.4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4.4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4.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4.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4.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4.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4.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4.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4.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4.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4.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4.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4.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4.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4.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4.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4.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4.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4.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4.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4.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4.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4.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4.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4.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4.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4.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4.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4.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4.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4.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4.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4.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4.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4.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4.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4.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4.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4.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4.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4.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4.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4.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4.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4.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4.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4.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4.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4.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4.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4.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4.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4.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4.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4.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4.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4.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4.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4.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4.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4.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4.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4.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4.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4.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4.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4.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4.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4.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4.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4.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4.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4.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4.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4.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4.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4.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4.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4.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4.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4.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4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4.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4.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4.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4.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4.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4.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4.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4.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4.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4.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4.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4.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4.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4.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4.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4.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4.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4.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4.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4.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4.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4.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4.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4.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4.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4.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4.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4.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4.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4.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4.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4.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4.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4.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4.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4.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4.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4.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4.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4.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4.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4.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4.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4.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4.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4.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4.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4.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4.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4.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4.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4.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4.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4.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4.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4.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4.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4.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4.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4.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4.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4.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4.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4.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4.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4.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4.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4.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4.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4.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4.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4.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4.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4.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4.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4.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4.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4.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4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4.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4.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4.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4.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4.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4.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4.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4.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4.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4.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4.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4.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4.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4.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4.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4.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4.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4.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4.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4.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4.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4.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4.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4.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4.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4.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4.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4.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4.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4.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4.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4.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4.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4.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4.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4.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4.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4.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4.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4.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4.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4.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4.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4.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4.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4.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4.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4.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4.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4.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4.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4.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4.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4.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4.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4.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4.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4.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4.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4.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4.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4.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4.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4.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4.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4.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4.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4.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4.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4.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4.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4.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4.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4.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4.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4.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4.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4.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4.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4.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4.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4.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4.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4.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4.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4.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4.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4.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4.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4.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4.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4.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4.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4.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4.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4.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4.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4.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4.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4.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4.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4.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4.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4.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4.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4.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4.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4.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4.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4.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4.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4.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4.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4.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4.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4.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4.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4.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4.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4.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4.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4.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4.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4.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4.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4.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4.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4.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4.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4.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4.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4.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4.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4.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4.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4.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4.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4.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4.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4.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4.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4.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4.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4.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4.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4.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4.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4.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4.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4.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4.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4.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4.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4.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4.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4.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4.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4.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4.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4.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4.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4.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4.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4.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4.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4.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4.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4.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4.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4.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4.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4.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4.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4.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4.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4.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4.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4.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4.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4.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4.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4.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4.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4.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4.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4.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4.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4.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4.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4.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4.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4.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4.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4.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4.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4.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4.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4.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4.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4.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4.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4.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4.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4.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4.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4.4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4.4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4.4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4.4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4.4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4.4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4.4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4.4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4.4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4.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4.4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4.4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4.4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4.4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4.4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4.4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4.4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4.4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4.4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4.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4.4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4.4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4.4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4.4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4.4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4.4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4.4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4.4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4.4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4.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4.4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4.4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4.4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4.4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4.4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4.4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4.4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4.4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4.4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4.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4.4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4.4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4.4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4.4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4.4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4.4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4.4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4.4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4.4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4.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4.4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4.4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4.4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4.4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4.4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4.4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4.4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4.4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4.4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4.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4.4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4.4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4.4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4.4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4.4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4.4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4.4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4.4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4.4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4.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4.4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4.4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4.4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4.4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4.4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4.4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4.4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4.4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4.4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4.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4.4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4.4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4.4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4.4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4.4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4.4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4.4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4.4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4.4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4.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4.4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4.4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4.4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4.4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4.4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4.4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4.4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4.4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4.4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4.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4.4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4.4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4.4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4.4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4.4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4.4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4.4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4.4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4.4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4.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4.4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4.4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4.4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4.4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4.4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4.4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4.4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4.4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4.4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4.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4.4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4.4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4.4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4.4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4.4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4.4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4.4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4.4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4.4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4.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4.4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4.4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4.4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4.4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4.4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4.4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4.4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4.4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4.4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4.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4.4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4.4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4.4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4.4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4.4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4.4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4.4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4.4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4.4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4.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4.4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4.4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4.4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4.4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4.4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4.4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4.4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4.4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4.4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4.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4.4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4.4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4.4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4.4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4.4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4.4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4.4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4.4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4.4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4.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4.4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4.4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4.4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4.4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4.4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4.4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4.4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4.4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4.4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4.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4.4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4.4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4.4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4.4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4.4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4.4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4.4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4.4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4.4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4.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4.4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4.4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4.4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4.4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4.4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4.4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4.4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4.4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4.4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4.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4.4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4.4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4.4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4.4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4.4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4.4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4.4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4.4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4.4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4.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4.4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4.4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4.4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4.4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4.4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4.4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4.4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4.4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4.4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4.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4.4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4.4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4.4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4.4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4.4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4.4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4.4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4.4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4.4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4.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4.4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4.4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4.4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4.4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4.4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4.4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4.4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4.4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4.4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4.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4.4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4.4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4.4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4.4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4.4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4.4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4.4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4.4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4.4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4.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4.4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4.4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4.4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4.4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4.4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4.4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4.4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4.4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4.4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4.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4.4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4.4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4.4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4.4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4.4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4.4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4.4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4.4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4.4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4.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4.4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4.4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4.4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4.4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4.4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4.4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4.4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4.4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4.4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4.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4.4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4.4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4.4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4.4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4.4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4.4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4.4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4.4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4.4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4.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4.4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4.4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4.4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4.4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4.4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4.4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4.4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4.4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4.4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4.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4.4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4.4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4.4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4.4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4.4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4.4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4.4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4.4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4.4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4.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4.4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4.4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4.4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4.4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4.4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4.4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4.4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4.4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4.4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4.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4.4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4.4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4.4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4.4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4.4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4.4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4.4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4.4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4.4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4.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4.4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4.4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4.4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4.4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4.4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4.4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4.4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4.4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4.4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4.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4.4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4.4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4.4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4.4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4.4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4.4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4.4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4.4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4.4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4.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4.4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4.4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4.4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4.4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4.4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4.4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4.4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4.4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4.4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4.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4.4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4.4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4.4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4.4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4.4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4.4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4.4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4.4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4.4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4.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4.4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4.4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4.4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4.4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4.4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4.4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4.4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4.4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4.4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4.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4.4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4.4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4.4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4.4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4.4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4.4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4.4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4.4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4.4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4.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4.4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4.4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4.4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4.4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4.4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4.4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4.4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4.4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4.4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4.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4.4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4.4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4.4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4.4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4.4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4.4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4.4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4.4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4.4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4.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4.4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4.4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4.4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4.4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4.4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4.4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4.4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4.4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4.4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4.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4.4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4.4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4.4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4.4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4.4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4.4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4.4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4.4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4.4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4.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4.4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4.4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4.4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4.4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4.4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4.4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4.4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4.4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4.4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4.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4.4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4.4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4.4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4.4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4.4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4.4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4.4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4.4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4.4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4.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4.4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4.4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4.4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4.4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4.4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4.4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4.4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4.4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4.4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4.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4.4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4.4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4.4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4.4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4.4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4.4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4.4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4.4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4.4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4.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4.4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4.4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4.4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4.4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4.4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4.4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4.4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4.4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4.4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4.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4.4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4.4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4.4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4.4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4.4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4.4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4.4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4.4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4.4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4.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4.4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4.4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4.4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4.4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4.4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4.4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4.4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4.4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4.4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4.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4.4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4.4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4.4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4.4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4.4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4.4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4.4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4.4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4.4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4.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4.4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4.4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4.4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4.4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4.4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4.4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4.4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4.4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4.4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4.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4.4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4.4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4.4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4.4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4.4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4.4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4.4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4.4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4.4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4.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4.4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4.4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4.4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4.4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4.4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4.4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4.4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4.4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4.4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4.4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4.4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4.4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4.4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4.4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4.4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4.4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4.4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4.4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4.4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4.4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4.4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4.4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FA857605-7E87-4944-B5B9-D704892EF263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topLeftCell="A7" zoomScale="80" zoomScaleNormal="80" workbookViewId="0">
      <selection activeCell="C15" sqref="C15:T15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2" width="13.88671875" style="1" customWidth="1"/>
    <col min="23" max="23" width="7.88671875" style="1" customWidth="1"/>
    <col min="24" max="16384" width="11.44140625" style="1"/>
  </cols>
  <sheetData>
    <row r="2" spans="1:262" ht="15.6" customHeight="1">
      <c r="A2" s="386" t="s">
        <v>5106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</row>
    <row r="3" spans="1:262" s="38" customFormat="1" ht="14.4">
      <c r="A3" s="37"/>
      <c r="B3" s="37"/>
      <c r="C3" s="37"/>
      <c r="R3" s="39"/>
      <c r="V3" s="298" t="s">
        <v>5251</v>
      </c>
    </row>
    <row r="4" spans="1:262" s="38" customFormat="1" ht="15.6" customHeight="1">
      <c r="A4" s="387" t="s">
        <v>236</v>
      </c>
      <c r="B4" s="388"/>
      <c r="C4" s="389" t="s">
        <v>5275</v>
      </c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1"/>
      <c r="U4" s="139"/>
      <c r="V4" s="139"/>
    </row>
    <row r="5" spans="1:262" s="38" customFormat="1" ht="96.6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primitaka'!$G$3:$G$502,'Unos prihoda i primitaka'!$C$3:$C$502,"=43",'Unos prihoda i primitaka'!$L$3:$L$502,"=81")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primitaka'!$G$3:$G$502,'Unos prihoda i primitaka'!$C$3:$C$502,"=81",'Unos prihoda i primitaka'!$L$3:$L$502,"=81")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primitaka'!$G$3:$G$502,'Unos prihoda i primitaka'!$C$3:$C$502,"=43",'Unos prihoda i primitaka'!$L$3:$L$502,"=82")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primitaka'!$G$3:$G$502,'Unos prihoda i primitaka'!$C$3:$C$502,"=81",'Unos prihoda i primitaka'!$L$3:$L$502,"=82")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primitaka'!$G$3:$G$502,'Unos prihoda i primitaka'!$C$3:$C$502,"=43",'Unos prihoda i primitaka'!$L$3:$L$502,"=83")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primitaka'!$G$3:$G$502,'Unos prihoda i primitaka'!$C$3:$C$502,"=81",'Unos prihoda i primitaka'!$L$3:$L$502,"=83")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primitaka'!$G$3:$G$502,'Unos prihoda i primitaka'!$C$3:$C$502,"=43",'Unos prihoda i primitaka'!$L$3:$L$502,"=84")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primitaka'!$G$3:$G$502,'Unos prihoda i primitaka'!$C$3:$C$502,"=81",'Unos prihoda i primitaka'!$L$3:$L$502,"=84")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2665</v>
      </c>
      <c r="D11" s="65">
        <f>+D12+D13</f>
        <v>0</v>
      </c>
      <c r="E11" s="65">
        <f t="shared" ref="E11:V11" si="3">+E12+E13</f>
        <v>0</v>
      </c>
      <c r="F11" s="65">
        <f t="shared" si="3"/>
        <v>2665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izdataka'!$J$3:$J$504,'Unos rashoda i izdataka'!$C$3:$C$504,"=11",'Unos rashoda i izdataka'!$P$3:$P$504,"=51")+SUMIFS('Unos rashoda P4'!$H$3:$H$501,'Unos rashoda P4'!$A$3:$A$501,"=11",'Unos rashoda P4'!$S$3:$S$501,"=51")</f>
        <v>0</v>
      </c>
      <c r="E12" s="74">
        <f>SUMIFS('Unos rashoda i izdataka'!$J$3:$J$504,'Unos rashoda i izdataka'!$C$3:$C$504,"=12",'Unos rashoda i izdataka'!$P$3:$P$504,"=51")+SUMIFS('Unos rashoda P4'!$H$3:$H$501,'Unos rashoda P4'!$A$3:$A$501,"=12",'Unos rashoda P4'!$S$3:$S$501,"=51")</f>
        <v>0</v>
      </c>
      <c r="F12" s="74">
        <f>SUMIFS('Unos rashoda i izdataka'!$J$3:$J$504,'Unos rashoda i izdataka'!$C$3:$C$504,"=31",'Unos rashoda i izdataka'!$P$3:$P$504,"=51")+SUMIFS('Unos rashoda P4'!$H$3:$H$501,'Unos rashoda P4'!$A$3:$A$501,"=31",'Unos rashoda P4'!$S$3:$S$501,"=51")</f>
        <v>0</v>
      </c>
      <c r="G12" s="74">
        <f>SUMIFS('Unos rashoda i izdataka'!$J$3:$J$504,'Unos rashoda i izdataka'!$C$3:$C$504,"=41",'Unos rashoda i izdataka'!$P$3:$P$504,"=51")+SUMIFS('Unos rashoda P4'!$H$3:$H$501,'Unos rashoda P4'!$A$3:$A$501,"=41",'Unos rashoda P4'!$S$3:$S$501,"=51")</f>
        <v>0</v>
      </c>
      <c r="H12" s="74">
        <f>SUMIFS('Unos rashoda i izdataka'!$J$3:$J$504,'Unos rashoda i izdataka'!$C$3:$C$504,"=43",'Unos rashoda i izdataka'!$P$3:$P$504,"=51")+SUMIFS('Unos rashoda P4'!$H$3:$H$501,'Unos rashoda P4'!$A$3:$A$501,"=43",'Unos rashoda P4'!$S$3:$S$501,"=51")</f>
        <v>0</v>
      </c>
      <c r="I12" s="74">
        <f>SUMIFS('Unos rashoda i izdataka'!$J$3:$J$504,'Unos rashoda i izdataka'!$C$3:$C$504,"=51",'Unos rashoda i izdataka'!$P$3:$P$504,"=51")+SUMIFS('Unos rashoda P4'!$H$3:$H$501,'Unos rashoda P4'!$A$3:$A$501,"=51",'Unos rashoda P4'!$S$3:$S$501,"=51")</f>
        <v>0</v>
      </c>
      <c r="J12" s="74">
        <f>SUMIFS('Unos rashoda i izdataka'!$J$3:$J$504,'Unos rashoda i izdataka'!$C$3:$C$504,"=52",'Unos rashoda i izdataka'!$P$3:$P$504,"=51")+SUMIFS('Unos rashoda P4'!$H$3:$H$501,'Unos rashoda P4'!$A$3:$A$501,"=52",'Unos rashoda P4'!$S$3:$S$501,"=51")</f>
        <v>0</v>
      </c>
      <c r="K12" s="74">
        <f>SUMIFS('Unos rashoda i izdataka'!$J$3:$J$504,'Unos rashoda i izdataka'!$C$3:$C$504,"=552",'Unos rashoda i izdataka'!$P$3:$P$504,"=51")+SUMIFS('Unos rashoda P4'!$H$3:$H$501,'Unos rashoda P4'!$A$3:$A$501,"=552",'Unos rashoda P4'!$S$3:$S$501,"=51")</f>
        <v>0</v>
      </c>
      <c r="L12" s="74">
        <f>SUMIFS('Unos rashoda i izdataka'!$J$3:$J$504,'Unos rashoda i izdataka'!$C$3:$C$504,"=559",'Unos rashoda i izdataka'!$P$3:$P$504,"=51")+SUMIFS('Unos rashoda P4'!$H$3:$H$501,'Unos rashoda P4'!$A$3:$A$501,"=559",'Unos rashoda P4'!$S$3:$S$501,"=51")</f>
        <v>0</v>
      </c>
      <c r="M12" s="74">
        <f>SUMIFS('Unos rashoda i izdataka'!$J$3:$J$504,'Unos rashoda i izdataka'!$C$3:$C$504,"=561",'Unos rashoda i izdataka'!$P$3:$P$504,"=51")+SUMIFS('Unos rashoda P4'!$H$3:$H$501,'Unos rashoda P4'!$A$3:$A$501,"=561",'Unos rashoda P4'!$S$3:$S$501,"=51")</f>
        <v>0</v>
      </c>
      <c r="N12" s="74">
        <f>SUMIFS('Unos rashoda i izdataka'!$J$3:$J$504,'Unos rashoda i izdataka'!$C$3:$C$504,"=563",'Unos rashoda i izdataka'!$P$3:$P$504,"=51")+SUMIFS('Unos rashoda P4'!$H$3:$H$501,'Unos rashoda P4'!$A$3:$A$501,"=563",'Unos rashoda P4'!$S$3:$S$501,"=51")</f>
        <v>0</v>
      </c>
      <c r="O12" s="74">
        <f>SUMIFS('Unos rashoda i izdataka'!$J$3:$J$504,'Unos rashoda i izdataka'!$C$3:$C$504,"=573",'Unos rashoda i izdataka'!$P$3:$P$504,"=51")+SUMIFS('Unos rashoda P4'!$H$3:$H$501,'Unos rashoda P4'!$A$3:$A$501,"=573",'Unos rashoda P4'!$S$3:$S$501,"=51")</f>
        <v>0</v>
      </c>
      <c r="P12" s="74">
        <f>SUMIFS('Unos rashoda i izdataka'!$J$3:$J$504,'Unos rashoda i izdataka'!$C$3:$C$504,"=575",'Unos rashoda i izdataka'!$P$3:$P$504,"=51")+SUMIFS('Unos rashoda P4'!$H$3:$H$501,'Unos rashoda P4'!$A$3:$A$501,"=575",'Unos rashoda P4'!$S$3:$S$501,"=51")</f>
        <v>0</v>
      </c>
      <c r="Q12" s="74">
        <f>SUMIFS('Unos rashoda i izdataka'!$J$3:$J$504,'Unos rashoda i izdataka'!$Q$3:$Q$504,"=576",'Unos rashoda i izdataka'!$P$3:$P$504,"=51")+SUMIFS('Unos rashoda P4'!$H$3:$H$501,'Unos rashoda P4'!$A$3:$A$501,"=576",'Unos rashoda P4'!$S$3:$S$501,"=51")</f>
        <v>0</v>
      </c>
      <c r="R12" s="74">
        <f>SUMIFS('Unos rashoda i izdataka'!$J$3:$J$504,'Unos rashoda i izdataka'!$C$3:$C$504,"=581",'Unos rashoda i izdataka'!$P$3:$P$504,"=51")+SUMIFS('Unos rashoda P4'!$H$3:$H$501,'Unos rashoda P4'!$A$3:$A$501,"=581",'Unos rashoda P4'!$S$3:$S$501,"=51")</f>
        <v>0</v>
      </c>
      <c r="S12" s="74">
        <f>SUMIFS('Unos rashoda i izdataka'!$J$3:$J$504,'Unos rashoda i izdataka'!$C$3:$C$504,"=61",'Unos rashoda i izdataka'!$P$3:$P$504,"=51")+SUMIFS('Unos rashoda P4'!$H$3:$H$501,'Unos rashoda P4'!$A$3:$A$501,"=61",'Unos rashoda P4'!$S$3:$S$501,"=51")</f>
        <v>0</v>
      </c>
      <c r="T12" s="74">
        <f>SUMIFS('Unos rashoda i izdataka'!$J$3:$J$504,'Unos rashoda i izdataka'!$C$3:$C$504,"=63",'Unos rashoda i izdataka'!$P$3:$P$504,"=51")+SUMIFS('Unos rashoda P4'!$H$3:$H$501,'Unos rashoda P4'!$A$3:$A$501,"=63",'Unos rashoda P4'!$S$3:$S$501,"=51")</f>
        <v>0</v>
      </c>
      <c r="U12" s="74">
        <f>SUMIFS('Unos rashoda i izdataka'!$J$3:$J$504,'Unos rashoda i izdataka'!$C$3:$C$504,"=71",'Unos rashoda i izdataka'!$P$3:$P$504,"=51")+SUMIFS('Unos rashoda P4'!$H$3:$H$501,'Unos rashoda P4'!$A$3:$A$501,"=71",'Unos rashoda P4'!$S$3:$S$501,"=51")</f>
        <v>0</v>
      </c>
      <c r="V12" s="74">
        <f>SUMIFS('Unos rashoda i izdataka'!$J$3:$J$504,'Unos rashoda i izdataka'!$C$3:$C$504,"=81",'Unos rashoda i izdataka'!$P$3:$P$504,"=51")+SUMIFS('Unos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2665</v>
      </c>
      <c r="D13" s="74">
        <f>SUMIFS('Unos rashoda i izdataka'!$J$3:$J$504,'Unos rashoda i izdataka'!$C$3:$C$504,"=11",'Unos rashoda i izdataka'!$P$3:$P$504,"=54")+SUMIFS('Unos rashoda P4'!$H$3:$H$501,'Unos rashoda P4'!$A$3:$A$501,"=11",'Unos rashoda P4'!$S$3:$S$501,"=54")</f>
        <v>0</v>
      </c>
      <c r="E13" s="74">
        <f>SUMIFS('Unos rashoda i izdataka'!$J$3:$J$504,'Unos rashoda i izdataka'!$C$3:$C$504,"=12",'Unos rashoda i izdataka'!$P$3:$P$504,"=54")+SUMIFS('Unos rashoda P4'!$H$3:$H$501,'Unos rashoda P4'!$A$3:$A$501,"=12",'Unos rashoda P4'!$S$3:$S$501,"=54")</f>
        <v>0</v>
      </c>
      <c r="F13" s="74">
        <f>SUMIFS('Unos rashoda i izdataka'!$J$3:$J$504,'Unos rashoda i izdataka'!$C$3:$C$504,"=31",'Unos rashoda i izdataka'!$P$3:$P$504,"=54")+SUMIFS('Unos rashoda P4'!$H$3:$H$501,'Unos rashoda P4'!$A$3:$A$501,"=31",'Unos rashoda P4'!$S$3:$S$501,"=54")</f>
        <v>2665</v>
      </c>
      <c r="G13" s="74">
        <f>SUMIFS('Unos rashoda i izdataka'!$J$3:$J$504,'Unos rashoda i izdataka'!$C$3:$C$504,"=41",'Unos rashoda i izdataka'!$P$3:$P$504,"=54")+SUMIFS('Unos rashoda P4'!$H$3:$H$501,'Unos rashoda P4'!$A$3:$A$501,"=41",'Unos rashoda P4'!$S$3:$S$501,"=54")</f>
        <v>0</v>
      </c>
      <c r="H13" s="74">
        <f>SUMIFS('Unos rashoda i izdataka'!$J$3:$J$504,'Unos rashoda i izdataka'!$C$3:$C$504,"=43",'Unos rashoda i izdataka'!$P$3:$P$504,"=54")+SUMIFS('Unos rashoda P4'!$H$3:$H$501,'Unos rashoda P4'!$A$3:$A$501,"=43",'Unos rashoda P4'!$S$3:$S$501,"=54")</f>
        <v>0</v>
      </c>
      <c r="I13" s="74">
        <f>SUMIFS('Unos rashoda i izdataka'!$J$3:$J$504,'Unos rashoda i izdataka'!$C$3:$C$504,"=51",'Unos rashoda i izdataka'!$P$3:$P$504,"=54")+SUMIFS('Unos rashoda P4'!$H$3:$H$501,'Unos rashoda P4'!$A$3:$A$501,"=51",'Unos rashoda P4'!$S$3:$S$501,"=54")</f>
        <v>0</v>
      </c>
      <c r="J13" s="74">
        <f>SUMIFS('Unos rashoda i izdataka'!$J$3:$J$504,'Unos rashoda i izdataka'!$C$3:$C$504,"=52",'Unos rashoda i izdataka'!$P$3:$P$504,"=54")+SUMIFS('Unos rashoda P4'!$H$3:$H$501,'Unos rashoda P4'!$A$3:$A$501,"=52",'Unos rashoda P4'!$S$3:$S$501,"=54")</f>
        <v>0</v>
      </c>
      <c r="K13" s="74">
        <f>SUMIFS('Unos rashoda i izdataka'!$J$3:$J$504,'Unos rashoda i izdataka'!$C$3:$C$504,"=552",'Unos rashoda i izdataka'!$P$3:$P$504,"=54")+SUMIFS('Unos rashoda P4'!$H$3:$H$501,'Unos rashoda P4'!$A$3:$A$501,"=552",'Unos rashoda P4'!$S$3:$S$501,"=54")</f>
        <v>0</v>
      </c>
      <c r="L13" s="74">
        <f>SUMIFS('Unos rashoda i izdataka'!$J$3:$J$504,'Unos rashoda i izdataka'!$C$3:$C$504,"=559",'Unos rashoda i izdataka'!$P$3:$P$504,"=54")+SUMIFS('Unos rashoda P4'!$H$3:$H$501,'Unos rashoda P4'!$A$3:$A$501,"=559",'Unos rashoda P4'!$S$3:$S$501,"=54")</f>
        <v>0</v>
      </c>
      <c r="M13" s="74">
        <f>SUMIFS('Unos rashoda i izdataka'!$J$3:$J$504,'Unos rashoda i izdataka'!$C$3:$C$504,"=561",'Unos rashoda i izdataka'!$P$3:$P$504,"=54")+SUMIFS('Unos rashoda P4'!$H$3:$H$501,'Unos rashoda P4'!$A$3:$A$501,"=561",'Unos rashoda P4'!$S$3:$S$501,"=54")</f>
        <v>0</v>
      </c>
      <c r="N13" s="74">
        <f>SUMIFS('Unos rashoda i izdataka'!$J$3:$J$504,'Unos rashoda i izdataka'!$C$3:$C$504,"=563",'Unos rashoda i izdataka'!$P$3:$P$504,"=54")+SUMIFS('Unos rashoda P4'!$H$3:$H$501,'Unos rashoda P4'!$A$3:$A$501,"=563",'Unos rashoda P4'!$S$3:$S$501,"=54")</f>
        <v>0</v>
      </c>
      <c r="O13" s="74">
        <f>SUMIFS('Unos rashoda i izdataka'!$J$3:$J$504,'Unos rashoda i izdataka'!$C$3:$C$504,"=573",'Unos rashoda i izdataka'!$P$3:$P$504,"=54")+SUMIFS('Unos rashoda P4'!$H$3:$H$501,'Unos rashoda P4'!$A$3:$A$501,"=573",'Unos rashoda P4'!$S$3:$S$501,"=54")</f>
        <v>0</v>
      </c>
      <c r="P13" s="74">
        <f>SUMIFS('Unos rashoda i izdataka'!$J$3:$J$504,'Unos rashoda i izdataka'!$C$3:$C$504,"=575",'Unos rashoda i izdataka'!$P$3:$P$504,"=54")+SUMIFS('Unos rashoda P4'!$H$3:$H$501,'Unos rashoda P4'!$A$3:$A$501,"=575",'Unos rashoda P4'!$S$3:$S$501,"=54")</f>
        <v>0</v>
      </c>
      <c r="Q13" s="74">
        <f>SUMIFS('Unos rashoda i izdataka'!$J$3:$J$504,'Unos rashoda i izdataka'!$Q$3:$Q$504,"=576",'Unos rashoda i izdataka'!$P$3:$P$504,"=54")+SUMIFS('Unos rashoda P4'!$H$3:$H$501,'Unos rashoda P4'!$A$3:$A$501,"=576",'Unos rashoda P4'!$S$3:$S$501,"=54")</f>
        <v>0</v>
      </c>
      <c r="R13" s="74">
        <f>SUMIFS('Unos rashoda i izdataka'!$J$3:$J$504,'Unos rashoda i izdataka'!$C$3:$C$504,"=581",'Unos rashoda i izdataka'!$P$3:$P$504,"=54")+SUMIFS('Unos rashoda P4'!$H$3:$H$501,'Unos rashoda P4'!$A$3:$A$501,"=581",'Unos rashoda P4'!$S$3:$S$501,"=54")</f>
        <v>0</v>
      </c>
      <c r="S13" s="74">
        <f>SUMIFS('Unos rashoda i izdataka'!$J$3:$J$504,'Unos rashoda i izdataka'!$C$3:$C$504,"=61",'Unos rashoda i izdataka'!$P$3:$P$504,"=54")+SUMIFS('Unos rashoda P4'!$H$3:$H$501,'Unos rashoda P4'!$A$3:$A$501,"=61",'Unos rashoda P4'!$S$3:$S$501,"=54")</f>
        <v>0</v>
      </c>
      <c r="T13" s="74">
        <f>SUMIFS('Unos rashoda i izdataka'!$J$3:$J$504,'Unos rashoda i izdataka'!$C$3:$C$504,"=63",'Unos rashoda i izdataka'!$P$3:$P$504,"=54")+SUMIFS('Unos rashoda P4'!$H$3:$H$501,'Unos rashoda P4'!$A$3:$A$501,"=63",'Unos rashoda P4'!$S$3:$S$501,"=54")</f>
        <v>0</v>
      </c>
      <c r="U13" s="74">
        <f>SUMIFS('Unos rashoda i izdataka'!$J$3:$J$504,'Unos rashoda i izdataka'!$C$3:$C$504,"=71",'Unos rashoda i izdataka'!$P$3:$P$504,"=54")+SUMIFS('Unos rashoda P4'!$H$3:$H$501,'Unos rashoda P4'!$A$3:$A$501,"=71",'Unos rashoda P4'!$S$3:$S$501,"=54")</f>
        <v>0</v>
      </c>
      <c r="V13" s="74">
        <f>SUMIFS('Unos rashoda i izdataka'!$J$3:$J$504,'Unos rashoda i izdataka'!$C$3:$C$504,"=81",'Unos rashoda i izdataka'!$P$3:$P$504,"=54")+SUMIFS('Unos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6">
      <c r="A15" s="387" t="s">
        <v>236</v>
      </c>
      <c r="B15" s="388"/>
      <c r="C15" s="389" t="s">
        <v>5264</v>
      </c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1"/>
      <c r="U15" s="139"/>
      <c r="V15" s="139"/>
    </row>
    <row r="16" spans="1:262" s="38" customFormat="1" ht="96.6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primitaka'!$H$3:$H$502,'Unos prihoda i primitaka'!$C$3:$C$502,"=43",'Unos prihoda i primitaka'!$L$3:$L$502,"=81")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primitaka'!$H$3:$H$502,'Unos prihoda i primitaka'!$C$3:$C$502,"=81",'Unos prihoda i primitaka'!$L$3:$L$502,"=81")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primitaka'!$H$3:$H$502,'Unos prihoda i primitaka'!$C$3:$C$502,"=43",'Unos prihoda i primitaka'!$L$3:$L$502,"=82")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primitaka'!$H$3:$H$502,'Unos prihoda i primitaka'!$C$3:$C$502,"=81",'Unos prihoda i primitaka'!$L$3:$L$502,"=82")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primitaka'!$H$3:$H$502,'Unos prihoda i primitaka'!$C$3:$C$502,"=43",'Unos prihoda i primitaka'!$L$3:$L$502,"=83")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primitaka'!$H$3:$H$502,'Unos prihoda i primitaka'!$C$3:$C$502,"=81",'Unos prihoda i primitaka'!$L$3:$L$502,"=83")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primitaka'!$H$3:$H$502,'Unos prihoda i primitaka'!$C$3:$C$502,"=43",'Unos prihoda i primitaka'!$L$3:$L$502,"=84")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primitaka'!$H$3:$H$502,'Unos prihoda i primitaka'!$C$3:$C$502,"=81",'Unos prihoda i primitaka'!$L$3:$L$502,"=84")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izdataka'!$K$3:$K$504,'Unos rashoda i izdataka'!$C$3:$C$504,"=11",'Unos rashoda i izdataka'!$P$3:$P$504,"=51")+SUMIFS('Unos rashoda P4'!$I$3:$I$501,'Unos rashoda P4'!$A$3:$A$501,"=11",'Unos rashoda P4'!$S$3:$S$501,"=51")</f>
        <v>0</v>
      </c>
      <c r="E23" s="74">
        <f>SUMIFS('Unos rashoda i izdataka'!$K$3:$K$504,'Unos rashoda i izdataka'!$C$3:$C$504,"=12",'Unos rashoda i izdataka'!$P$3:$P$504,"=51")+SUMIFS('Unos rashoda P4'!$I$3:$I$501,'Unos rashoda P4'!$A$3:$A$501,"=12",'Unos rashoda P4'!$S$3:$S$501,"=51")</f>
        <v>0</v>
      </c>
      <c r="F23" s="74">
        <f>SUMIFS('Unos rashoda i izdataka'!$K$3:$K$504,'Unos rashoda i izdataka'!$C$3:$C$504,"=31",'Unos rashoda i izdataka'!$P$3:$P$504,"=51")+SUMIFS('Unos rashoda P4'!$I$3:$I$501,'Unos rashoda P4'!$A$3:$A$501,"=31",'Unos rashoda P4'!$S$3:$S$501,"=51")</f>
        <v>0</v>
      </c>
      <c r="G23" s="74">
        <f>SUMIFS('Unos rashoda i izdataka'!$K$3:$K$504,'Unos rashoda i izdataka'!$C$3:$C$504,"=41",'Unos rashoda i izdataka'!$P$3:$P$504,"=51")+SUMIFS('Unos rashoda P4'!$I$3:$I$501,'Unos rashoda P4'!$A$3:$A$501,"=41",'Unos rashoda P4'!$S$3:$S$501,"=51")</f>
        <v>0</v>
      </c>
      <c r="H23" s="74">
        <f>SUMIFS('Unos rashoda i izdataka'!$K$3:$K$504,'Unos rashoda i izdataka'!$C$3:$C$504,"=43",'Unos rashoda i izdataka'!$P$3:$P$504,"=51")+SUMIFS('Unos rashoda P4'!$I$3:$I$501,'Unos rashoda P4'!$A$3:$A$501,"=43",'Unos rashoda P4'!$S$3:$S$501,"=51")</f>
        <v>0</v>
      </c>
      <c r="I23" s="74">
        <f>SUMIFS('Unos rashoda i izdataka'!$K$3:$K$504,'Unos rashoda i izdataka'!$C$3:$C$504,"=51",'Unos rashoda i izdataka'!$P$3:$P$504,"=51")+SUMIFS('Unos rashoda P4'!$I$3:$I$501,'Unos rashoda P4'!$A$3:$A$501,"=51",'Unos rashoda P4'!$S$3:$S$501,"=51")</f>
        <v>0</v>
      </c>
      <c r="J23" s="74">
        <f>SUMIFS('Unos rashoda i izdataka'!$K$3:$K$504,'Unos rashoda i izdataka'!$C$3:$C$504,"=52",'Unos rashoda i izdataka'!$P$3:$P$504,"=51")+SUMIFS('Unos rashoda P4'!$I$3:$I$501,'Unos rashoda P4'!$A$3:$A$501,"=52",'Unos rashoda P4'!$S$3:$S$501,"=51")</f>
        <v>0</v>
      </c>
      <c r="K23" s="74">
        <f>SUMIFS('Unos rashoda i izdataka'!$K$3:$K$504,'Unos rashoda i izdataka'!$C$3:$C$504,"=552",'Unos rashoda i izdataka'!$P$3:$P$504,"=51")+SUMIFS('Unos rashoda P4'!$I$3:$I$501,'Unos rashoda P4'!$A$3:$A$501,"=552",'Unos rashoda P4'!$S$3:$S$501,"=51")</f>
        <v>0</v>
      </c>
      <c r="L23" s="74">
        <f>SUMIFS('Unos rashoda i izdataka'!$K$3:$K$504,'Unos rashoda i izdataka'!$C$3:$C$504,"=559",'Unos rashoda i izdataka'!$P$3:$P$504,"=51")+SUMIFS('Unos rashoda P4'!$I$3:$I$501,'Unos rashoda P4'!$A$3:$A$501,"=559",'Unos rashoda P4'!$S$3:$S$501,"=51")</f>
        <v>0</v>
      </c>
      <c r="M23" s="74">
        <f>SUMIFS('Unos rashoda i izdataka'!$K$3:$K$504,'Unos rashoda i izdataka'!$C$3:$C$504,"=561",'Unos rashoda i izdataka'!$P$3:$P$504,"=51")+SUMIFS('Unos rashoda P4'!$I$3:$I$501,'Unos rashoda P4'!$A$3:$A$501,"=561",'Unos rashoda P4'!$S$3:$S$501,"=51")</f>
        <v>0</v>
      </c>
      <c r="N23" s="74">
        <f>SUMIFS('Unos rashoda i izdataka'!$K$3:$K$504,'Unos rashoda i izdataka'!$C$3:$C$504,"=563",'Unos rashoda i izdataka'!$P$3:$P$504,"=51")+SUMIFS('Unos rashoda P4'!$I$3:$I$501,'Unos rashoda P4'!$A$3:$A$501,"=563",'Unos rashoda P4'!$S$3:$S$501,"=51")</f>
        <v>0</v>
      </c>
      <c r="O23" s="74">
        <f>SUMIFS('Unos rashoda i izdataka'!$K$3:$K$504,'Unos rashoda i izdataka'!$C$3:$C$504,"=573",'Unos rashoda i izdataka'!$P$3:$P$504,"=51")+SUMIFS('Unos rashoda P4'!$I$3:$I$501,'Unos rashoda P4'!$A$3:$A$501,"=573",'Unos rashoda P4'!$S$3:$S$501,"=51")</f>
        <v>0</v>
      </c>
      <c r="P23" s="74">
        <f>SUMIFS('Unos rashoda i izdataka'!$K$3:$K$504,'Unos rashoda i izdataka'!$C$3:$C$504,"=575",'Unos rashoda i izdataka'!$P$3:$P$504,"=51")+SUMIFS('Unos rashoda P4'!$I$3:$I$501,'Unos rashoda P4'!$A$3:$A$501,"=575",'Unos rashoda P4'!$S$3:$S$501,"=51")</f>
        <v>0</v>
      </c>
      <c r="Q23" s="74">
        <f>SUMIFS('Unos rashoda i izdataka'!$K$3:$K$504,'Unos rashoda i izdataka'!$Q$3:$Q$504,"=576",'Unos rashoda i izdataka'!$P$3:$P$504,"=51")+SUMIFS('Unos rashoda P4'!$I$3:$I$501,'Unos rashoda P4'!$A$3:$A$501,"=576",'Unos rashoda P4'!$S$3:$S$501,"=51")</f>
        <v>0</v>
      </c>
      <c r="R23" s="74">
        <f>SUMIFS('Unos rashoda i izdataka'!$K$3:$K$504,'Unos rashoda i izdataka'!$C$3:$C$504,"=581",'Unos rashoda i izdataka'!$P$3:$P$504,"=51")+SUMIFS('Unos rashoda P4'!$I$3:$I$501,'Unos rashoda P4'!$A$3:$A$501,"=581",'Unos rashoda P4'!$S$3:$S$501,"=51")</f>
        <v>0</v>
      </c>
      <c r="S23" s="74">
        <f>SUMIFS('Unos rashoda i izdataka'!$K$3:$K$504,'Unos rashoda i izdataka'!$C$3:$C$504,"=61",'Unos rashoda i izdataka'!$P$3:$P$504,"=51")+SUMIFS('Unos rashoda P4'!$I$3:$I$501,'Unos rashoda P4'!$A$3:$A$501,"=61",'Unos rashoda P4'!$S$3:$S$501,"=51")</f>
        <v>0</v>
      </c>
      <c r="T23" s="74">
        <f>SUMIFS('Unos rashoda i izdataka'!$K$3:$K$504,'Unos rashoda i izdataka'!$C$3:$C$504,"=63",'Unos rashoda i izdataka'!$P$3:$P$504,"=51")+SUMIFS('Unos rashoda P4'!$I$3:$I$501,'Unos rashoda P4'!$A$3:$A$501,"=63",'Unos rashoda P4'!$S$3:$S$501,"=51")</f>
        <v>0</v>
      </c>
      <c r="U23" s="74">
        <f>SUMIFS('Unos rashoda i izdataka'!$K$3:$K$504,'Unos rashoda i izdataka'!$C$3:$C$504,"=71",'Unos rashoda i izdataka'!$P$3:$P$504,"=51")+SUMIFS('Unos rashoda P4'!$I$3:$I$501,'Unos rashoda P4'!$A$3:$A$501,"=71",'Unos rashoda P4'!$S$3:$S$501,"=51")</f>
        <v>0</v>
      </c>
      <c r="V23" s="74">
        <f>SUMIFS('Unos rashoda i izdataka'!$K$3:$K$504,'Unos rashoda i izdataka'!$C$3:$C$504,"=81",'Unos rashoda i izdataka'!$P$3:$P$504,"=51")+SUMIFS('Unos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izdataka'!$K$3:$K$504,'Unos rashoda i izdataka'!$C$3:$C$504,"=11",'Unos rashoda i izdataka'!$P$3:$P$504,"=54")+SUMIFS('Unos rashoda P4'!$I$3:$I$501,'Unos rashoda P4'!$A$3:$A$501,"=11",'Unos rashoda P4'!$S$3:$S$501,"=54")</f>
        <v>0</v>
      </c>
      <c r="E24" s="74">
        <f>SUMIFS('Unos rashoda i izdataka'!$K$3:$K$504,'Unos rashoda i izdataka'!$C$3:$C$504,"=12",'Unos rashoda i izdataka'!$P$3:$P$504,"=54")+SUMIFS('Unos rashoda P4'!$I$3:$I$501,'Unos rashoda P4'!$A$3:$A$501,"=12",'Unos rashoda P4'!$S$3:$S$501,"=54")</f>
        <v>0</v>
      </c>
      <c r="F24" s="74">
        <f>SUMIFS('Unos rashoda i izdataka'!$K$3:$K$504,'Unos rashoda i izdataka'!$C$3:$C$504,"=31",'Unos rashoda i izdataka'!$P$3:$P$504,"=54")+SUMIFS('Unos rashoda P4'!$I$3:$I$501,'Unos rashoda P4'!$A$3:$A$501,"=31",'Unos rashoda P4'!$S$3:$S$501,"=54")</f>
        <v>0</v>
      </c>
      <c r="G24" s="74">
        <f>SUMIFS('Unos rashoda i izdataka'!$K$3:$K$504,'Unos rashoda i izdataka'!$C$3:$C$504,"=41",'Unos rashoda i izdataka'!$P$3:$P$504,"=54")+SUMIFS('Unos rashoda P4'!$I$3:$I$501,'Unos rashoda P4'!$A$3:$A$501,"=41",'Unos rashoda P4'!$S$3:$S$501,"=54")</f>
        <v>0</v>
      </c>
      <c r="H24" s="74">
        <f>SUMIFS('Unos rashoda i izdataka'!$K$3:$K$504,'Unos rashoda i izdataka'!$C$3:$C$504,"=43",'Unos rashoda i izdataka'!$P$3:$P$504,"=54")+SUMIFS('Unos rashoda P4'!$I$3:$I$501,'Unos rashoda P4'!$A$3:$A$501,"=43",'Unos rashoda P4'!$S$3:$S$501,"=54")</f>
        <v>0</v>
      </c>
      <c r="I24" s="74">
        <f>SUMIFS('Unos rashoda i izdataka'!$K$3:$K$504,'Unos rashoda i izdataka'!$C$3:$C$504,"=51",'Unos rashoda i izdataka'!$P$3:$P$504,"=54")+SUMIFS('Unos rashoda P4'!$I$3:$I$501,'Unos rashoda P4'!$A$3:$A$501,"=51",'Unos rashoda P4'!$S$3:$S$501,"=54")</f>
        <v>0</v>
      </c>
      <c r="J24" s="74">
        <f>SUMIFS('Unos rashoda i izdataka'!$K$3:$K$504,'Unos rashoda i izdataka'!$C$3:$C$504,"=52",'Unos rashoda i izdataka'!$P$3:$P$504,"=54")+SUMIFS('Unos rashoda P4'!$I$3:$I$501,'Unos rashoda P4'!$A$3:$A$501,"=52",'Unos rashoda P4'!$S$3:$S$501,"=54")</f>
        <v>0</v>
      </c>
      <c r="K24" s="74">
        <f>SUMIFS('Unos rashoda i izdataka'!$K$3:$K$504,'Unos rashoda i izdataka'!$C$3:$C$504,"=552",'Unos rashoda i izdataka'!$P$3:$P$504,"=54")+SUMIFS('Unos rashoda P4'!$I$3:$I$501,'Unos rashoda P4'!$A$3:$A$501,"=552",'Unos rashoda P4'!$S$3:$S$501,"=54")</f>
        <v>0</v>
      </c>
      <c r="L24" s="74">
        <f>SUMIFS('Unos rashoda i izdataka'!$K$3:$K$504,'Unos rashoda i izdataka'!$C$3:$C$504,"=559",'Unos rashoda i izdataka'!$P$3:$P$504,"=54")+SUMIFS('Unos rashoda P4'!$I$3:$I$501,'Unos rashoda P4'!$A$3:$A$501,"=559",'Unos rashoda P4'!$S$3:$S$501,"=54")</f>
        <v>0</v>
      </c>
      <c r="M24" s="74">
        <f>SUMIFS('Unos rashoda i izdataka'!$K$3:$K$504,'Unos rashoda i izdataka'!$C$3:$C$504,"=561",'Unos rashoda i izdataka'!$P$3:$P$504,"=54")+SUMIFS('Unos rashoda P4'!$I$3:$I$501,'Unos rashoda P4'!$A$3:$A$501,"=561",'Unos rashoda P4'!$S$3:$S$501,"=54")</f>
        <v>0</v>
      </c>
      <c r="N24" s="74">
        <f>SUMIFS('Unos rashoda i izdataka'!$K$3:$K$504,'Unos rashoda i izdataka'!$C$3:$C$504,"=563",'Unos rashoda i izdataka'!$P$3:$P$504,"=54")+SUMIFS('Unos rashoda P4'!$I$3:$I$501,'Unos rashoda P4'!$A$3:$A$501,"=563",'Unos rashoda P4'!$S$3:$S$501,"=54")</f>
        <v>0</v>
      </c>
      <c r="O24" s="74">
        <f>SUMIFS('Unos rashoda i izdataka'!$K$3:$K$504,'Unos rashoda i izdataka'!$C$3:$C$504,"=573",'Unos rashoda i izdataka'!$P$3:$P$504,"=54")+SUMIFS('Unos rashoda P4'!$I$3:$I$501,'Unos rashoda P4'!$A$3:$A$501,"=573",'Unos rashoda P4'!$S$3:$S$501,"=54")</f>
        <v>0</v>
      </c>
      <c r="P24" s="74">
        <f>SUMIFS('Unos rashoda i izdataka'!$K$3:$K$504,'Unos rashoda i izdataka'!$C$3:$C$504,"=575",'Unos rashoda i izdataka'!$P$3:$P$504,"=54")+SUMIFS('Unos rashoda P4'!$I$3:$I$501,'Unos rashoda P4'!$A$3:$A$501,"=575",'Unos rashoda P4'!$S$3:$S$501,"=54")</f>
        <v>0</v>
      </c>
      <c r="Q24" s="74">
        <f>SUMIFS('Unos rashoda i izdataka'!$K$3:$K$504,'Unos rashoda i izdataka'!$Q$3:$Q$504,"=576",'Unos rashoda i izdataka'!$P$3:$P$504,"=54")+SUMIFS('Unos rashoda P4'!$I$3:$I$501,'Unos rashoda P4'!$A$3:$A$501,"=576",'Unos rashoda P4'!$S$3:$S$501,"=54")</f>
        <v>0</v>
      </c>
      <c r="R24" s="74">
        <f>SUMIFS('Unos rashoda i izdataka'!$K$3:$K$504,'Unos rashoda i izdataka'!$C$3:$C$504,"=581",'Unos rashoda i izdataka'!$P$3:$P$504,"=54")+SUMIFS('Unos rashoda P4'!$I$3:$I$501,'Unos rashoda P4'!$A$3:$A$501,"=581",'Unos rashoda P4'!$S$3:$S$501,"=54")</f>
        <v>0</v>
      </c>
      <c r="S24" s="74">
        <f>SUMIFS('Unos rashoda i izdataka'!$K$3:$K$504,'Unos rashoda i izdataka'!$C$3:$C$504,"=61",'Unos rashoda i izdataka'!$P$3:$P$504,"=54")+SUMIFS('Unos rashoda P4'!$I$3:$I$501,'Unos rashoda P4'!$A$3:$A$501,"=61",'Unos rashoda P4'!$S$3:$S$501,"=54")</f>
        <v>0</v>
      </c>
      <c r="T24" s="74">
        <f>SUMIFS('Unos rashoda i izdataka'!$K$3:$K$504,'Unos rashoda i izdataka'!$C$3:$C$504,"=63",'Unos rashoda i izdataka'!$P$3:$P$504,"=54")+SUMIFS('Unos rashoda P4'!$I$3:$I$501,'Unos rashoda P4'!$A$3:$A$501,"=63",'Unos rashoda P4'!$S$3:$S$501,"=54")</f>
        <v>0</v>
      </c>
      <c r="U24" s="74">
        <f>SUMIFS('Unos rashoda i izdataka'!$K$3:$K$504,'Unos rashoda i izdataka'!$C$3:$C$504,"=71",'Unos rashoda i izdataka'!$P$3:$P$504,"=54")+SUMIFS('Unos rashoda P4'!$I$3:$I$501,'Unos rashoda P4'!$A$3:$A$501,"=71",'Unos rashoda P4'!$S$3:$S$501,"=54")</f>
        <v>0</v>
      </c>
      <c r="V24" s="74">
        <f>SUMIFS('Unos rashoda i izdataka'!$K$3:$K$504,'Unos rashoda i izdataka'!$C$3:$C$504,"=81",'Unos rashoda i izdataka'!$P$3:$P$504,"=54")+SUMIFS('Unos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6">
      <c r="A26" s="387" t="s">
        <v>236</v>
      </c>
      <c r="B26" s="388"/>
      <c r="C26" s="389" t="s">
        <v>5265</v>
      </c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1"/>
      <c r="U26" s="139"/>
      <c r="V26" s="139"/>
    </row>
    <row r="27" spans="1:262" s="38" customFormat="1" ht="96.6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primitaka'!$I$3:$I$502,'Unos prihoda i primitaka'!$C$3:$C$502,"=43",'Unos prihoda i primitaka'!$L$3:$L$502,"=81")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primitaka'!$I$3:$I$502,'Unos prihoda i primitaka'!$C$3:$C$502,"=81",'Unos prihoda i primitaka'!$L$3:$L$502,"=81")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primitaka'!$I$3:$I$502,'Unos prihoda i primitaka'!$C$3:$C$502,"=43",'Unos prihoda i primitaka'!$L$3:$L$502,"=82")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primitaka'!$I$3:$I$502,'Unos prihoda i primitaka'!$C$3:$C$502,"=81",'Unos prihoda i primitaka'!$L$3:$L$502,"=82")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primitaka'!$I$3:$I$502,'Unos prihoda i primitaka'!$C$3:$C$502,"=43",'Unos prihoda i primitaka'!$L$3:$L$502,"=83")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primitaka'!$I$3:$I$502,'Unos prihoda i primitaka'!$C$3:$C$502,"=81",'Unos prihoda i primitaka'!$L$3:$L$502,"=83")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primitaka'!$I$3:$I$502,'Unos prihoda i primitaka'!$C$3:$C$502,"=43",'Unos prihoda i primitaka'!$L$3:$L$502,"=84")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primitaka'!$I$3:$I$502,'Unos prihoda i primitaka'!$C$3:$C$502,"=81",'Unos prihoda i primitaka'!$L$3:$L$502,"=84")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2665</v>
      </c>
      <c r="D33" s="65">
        <f>+D34+D35</f>
        <v>0</v>
      </c>
      <c r="E33" s="65">
        <f t="shared" ref="E33:V33" si="12">+E34+E35</f>
        <v>0</v>
      </c>
      <c r="F33" s="65">
        <f t="shared" si="12"/>
        <v>2665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izdataka'!$L$3:$L$504,'Unos rashoda i izdataka'!$C$3:$C$504,"=11",'Unos rashoda i izdataka'!$P$3:$P$504,"=51")+SUMIFS('Unos rashoda P4'!$J$3:$J$501,'Unos rashoda P4'!$A$3:$A$501,"=11",'Unos rashoda P4'!$S$3:$S$501,"=51")</f>
        <v>0</v>
      </c>
      <c r="E34" s="74">
        <f>SUMIFS('Unos rashoda i izdataka'!$L$3:$L$504,'Unos rashoda i izdataka'!$C$3:$C$504,"=12",'Unos rashoda i izdataka'!$P$3:$P$504,"=51")+SUMIFS('Unos rashoda P4'!$J$3:$J$501,'Unos rashoda P4'!$A$3:$A$501,"=12",'Unos rashoda P4'!$S$3:$S$501,"=51")</f>
        <v>0</v>
      </c>
      <c r="F34" s="74">
        <f>SUMIFS('Unos rashoda i izdataka'!$L$3:$L$504,'Unos rashoda i izdataka'!$C$3:$C$504,"=31",'Unos rashoda i izdataka'!$P$3:$P$504,"=51")+SUMIFS('Unos rashoda P4'!$J$3:$J$501,'Unos rashoda P4'!$A$3:$A$501,"=31",'Unos rashoda P4'!$S$3:$S$501,"=51")</f>
        <v>0</v>
      </c>
      <c r="G34" s="74">
        <f>SUMIFS('Unos rashoda i izdataka'!$L$3:$L$504,'Unos rashoda i izdataka'!$C$3:$C$504,"=41",'Unos rashoda i izdataka'!$P$3:$P$504,"=51")+SUMIFS('Unos rashoda P4'!$J$3:$J$501,'Unos rashoda P4'!$A$3:$A$501,"=41",'Unos rashoda P4'!$S$3:$S$501,"=51")</f>
        <v>0</v>
      </c>
      <c r="H34" s="74">
        <f>SUMIFS('Unos rashoda i izdataka'!$L$3:$L$504,'Unos rashoda i izdataka'!$C$3:$C$504,"=43",'Unos rashoda i izdataka'!$P$3:$P$504,"=51")+SUMIFS('Unos rashoda P4'!$J$3:$J$501,'Unos rashoda P4'!$A$3:$A$501,"=43",'Unos rashoda P4'!$S$3:$S$501,"=51")</f>
        <v>0</v>
      </c>
      <c r="I34" s="74">
        <f>SUMIFS('Unos rashoda i izdataka'!$L$3:$L$504,'Unos rashoda i izdataka'!$C$3:$C$504,"=51",'Unos rashoda i izdataka'!$P$3:$P$504,"=51")+SUMIFS('Unos rashoda P4'!$J$3:$J$501,'Unos rashoda P4'!$A$3:$A$501,"=51",'Unos rashoda P4'!$S$3:$S$501,"=51")</f>
        <v>0</v>
      </c>
      <c r="J34" s="74">
        <f>SUMIFS('Unos rashoda i izdataka'!$L$3:$L$504,'Unos rashoda i izdataka'!$C$3:$C$504,"=52",'Unos rashoda i izdataka'!$P$3:$P$504,"=51")+SUMIFS('Unos rashoda P4'!$J$3:$J$501,'Unos rashoda P4'!$A$3:$A$501,"=52",'Unos rashoda P4'!$S$3:$S$501,"=51")</f>
        <v>0</v>
      </c>
      <c r="K34" s="74">
        <f>SUMIFS('Unos rashoda i izdataka'!$L$3:$L$504,'Unos rashoda i izdataka'!$C$3:$C$504,"=552",'Unos rashoda i izdataka'!$P$3:$P$504,"=51")+SUMIFS('Unos rashoda P4'!$J$3:$J$501,'Unos rashoda P4'!$A$3:$A$501,"=552",'Unos rashoda P4'!$S$3:$S$501,"=51")</f>
        <v>0</v>
      </c>
      <c r="L34" s="74">
        <f>SUMIFS('Unos rashoda i izdataka'!$L$3:$L$504,'Unos rashoda i izdataka'!$C$3:$C$504,"=559",'Unos rashoda i izdataka'!$P$3:$P$504,"=51")+SUMIFS('Unos rashoda P4'!$J$3:$J$501,'Unos rashoda P4'!$A$3:$A$501,"=559",'Unos rashoda P4'!$S$3:$S$501,"=51")</f>
        <v>0</v>
      </c>
      <c r="M34" s="74">
        <f>SUMIFS('Unos rashoda i izdataka'!$L$3:$L$504,'Unos rashoda i izdataka'!$C$3:$C$504,"=561",'Unos rashoda i izdataka'!$P$3:$P$504,"=51")+SUMIFS('Unos rashoda P4'!$J$3:$J$501,'Unos rashoda P4'!$A$3:$A$501,"=561",'Unos rashoda P4'!$S$3:$S$501,"=51")</f>
        <v>0</v>
      </c>
      <c r="N34" s="74">
        <f>SUMIFS('Unos rashoda i izdataka'!$L$3:$L$504,'Unos rashoda i izdataka'!$C$3:$C$504,"=563",'Unos rashoda i izdataka'!$P$3:$P$504,"=51")+SUMIFS('Unos rashoda P4'!$J$3:$J$501,'Unos rashoda P4'!$A$3:$A$501,"=563",'Unos rashoda P4'!$S$3:$S$501,"=51")</f>
        <v>0</v>
      </c>
      <c r="O34" s="74">
        <f>SUMIFS('Unos rashoda i izdataka'!$L$3:$L$504,'Unos rashoda i izdataka'!$C$3:$C$504,"=573",'Unos rashoda i izdataka'!$P$3:$P$504,"=51")+SUMIFS('Unos rashoda P4'!$J$3:$J$501,'Unos rashoda P4'!$A$3:$A$501,"=573",'Unos rashoda P4'!$S$3:$S$501,"=51")</f>
        <v>0</v>
      </c>
      <c r="P34" s="74">
        <f>SUMIFS('Unos rashoda i izdataka'!$L$3:$L$504,'Unos rashoda i izdataka'!$C$3:$C$504,"=575",'Unos rashoda i izdataka'!$P$3:$P$504,"=51")+SUMIFS('Unos rashoda P4'!$J$3:$J$501,'Unos rashoda P4'!$A$3:$A$501,"=575",'Unos rashoda P4'!$S$3:$S$501,"=51")</f>
        <v>0</v>
      </c>
      <c r="Q34" s="74">
        <f>SUMIFS('Unos rashoda i izdataka'!$L$3:$L$504,'Unos rashoda i izdataka'!$Q$3:$Q$504,"=576",'Unos rashoda i izdataka'!$P$3:$P$504,"=51")+SUMIFS('Unos rashoda P4'!$J$3:$J$501,'Unos rashoda P4'!$A$3:$A$501,"=576",'Unos rashoda P4'!$S$3:$S$501,"=51")</f>
        <v>0</v>
      </c>
      <c r="R34" s="74">
        <f>SUMIFS('Unos rashoda i izdataka'!$L$3:$L$504,'Unos rashoda i izdataka'!$C$3:$C$504,"=581",'Unos rashoda i izdataka'!$P$3:$P$504,"=51")+SUMIFS('Unos rashoda P4'!$J$3:$J$501,'Unos rashoda P4'!$A$3:$A$501,"=581",'Unos rashoda P4'!$S$3:$S$501,"=51")</f>
        <v>0</v>
      </c>
      <c r="S34" s="74">
        <f>SUMIFS('Unos rashoda i izdataka'!$L$3:$L$504,'Unos rashoda i izdataka'!$C$3:$C$504,"=61",'Unos rashoda i izdataka'!$P$3:$P$504,"=51")+SUMIFS('Unos rashoda P4'!$J$3:$J$501,'Unos rashoda P4'!$A$3:$A$501,"=61",'Unos rashoda P4'!$S$3:$S$501,"=51")</f>
        <v>0</v>
      </c>
      <c r="T34" s="74">
        <f>SUMIFS('Unos rashoda i izdataka'!$L$3:$L$504,'Unos rashoda i izdataka'!$C$3:$C$504,"=63",'Unos rashoda i izdataka'!$P$3:$P$504,"=51")+SUMIFS('Unos rashoda P4'!$J$3:$J$501,'Unos rashoda P4'!$A$3:$A$501,"=63",'Unos rashoda P4'!$S$3:$S$501,"=51")</f>
        <v>0</v>
      </c>
      <c r="U34" s="74">
        <f>SUMIFS('Unos rashoda i izdataka'!$L$3:$L$504,'Unos rashoda i izdataka'!$C$3:$C$504,"=71",'Unos rashoda i izdataka'!$P$3:$P$504,"=51")+SUMIFS('Unos rashoda P4'!$J$3:$J$501,'Unos rashoda P4'!$A$3:$A$501,"=71",'Unos rashoda P4'!$S$3:$S$501,"=51")</f>
        <v>0</v>
      </c>
      <c r="V34" s="74">
        <f>SUMIFS('Unos rashoda i izdataka'!$L$3:$L$504,'Unos rashoda i izdataka'!$C$3:$C$504,"=81",'Unos rashoda i izdataka'!$P$3:$P$504,"=51")+SUMIFS('Unos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2665</v>
      </c>
      <c r="D35" s="74">
        <f>SUMIFS('Unos rashoda i izdataka'!$L$3:$L$504,'Unos rashoda i izdataka'!$C$3:$C$504,"=11",'Unos rashoda i izdataka'!$P$3:$P$504,"=54")+SUMIFS('Unos rashoda P4'!$J$3:$J$501,'Unos rashoda P4'!$A$3:$A$501,"=11",'Unos rashoda P4'!$S$3:$S$501,"=54")</f>
        <v>0</v>
      </c>
      <c r="E35" s="74">
        <f>SUMIFS('Unos rashoda i izdataka'!$L$3:$L$504,'Unos rashoda i izdataka'!$C$3:$C$504,"=12",'Unos rashoda i izdataka'!$P$3:$P$504,"=54")+SUMIFS('Unos rashoda P4'!$J$3:$J$501,'Unos rashoda P4'!$A$3:$A$501,"=12",'Unos rashoda P4'!$S$3:$S$501,"=54")</f>
        <v>0</v>
      </c>
      <c r="F35" s="74">
        <f>SUMIFS('Unos rashoda i izdataka'!$L$3:$L$504,'Unos rashoda i izdataka'!$C$3:$C$504,"=31",'Unos rashoda i izdataka'!$P$3:$P$504,"=54")+SUMIFS('Unos rashoda P4'!$J$3:$J$501,'Unos rashoda P4'!$A$3:$A$501,"=31",'Unos rashoda P4'!$S$3:$S$501,"=54")</f>
        <v>2665</v>
      </c>
      <c r="G35" s="74">
        <f>SUMIFS('Unos rashoda i izdataka'!$L$3:$L$504,'Unos rashoda i izdataka'!$C$3:$C$504,"=41",'Unos rashoda i izdataka'!$P$3:$P$504,"=54")+SUMIFS('Unos rashoda P4'!$J$3:$J$501,'Unos rashoda P4'!$A$3:$A$501,"=41",'Unos rashoda P4'!$S$3:$S$501,"=54")</f>
        <v>0</v>
      </c>
      <c r="H35" s="74">
        <f>SUMIFS('Unos rashoda i izdataka'!$L$3:$L$504,'Unos rashoda i izdataka'!$C$3:$C$504,"=43",'Unos rashoda i izdataka'!$P$3:$P$504,"=54")+SUMIFS('Unos rashoda P4'!$J$3:$J$501,'Unos rashoda P4'!$A$3:$A$501,"=43",'Unos rashoda P4'!$S$3:$S$501,"=54")</f>
        <v>0</v>
      </c>
      <c r="I35" s="74">
        <f>SUMIFS('Unos rashoda i izdataka'!$L$3:$L$504,'Unos rashoda i izdataka'!$C$3:$C$504,"=51",'Unos rashoda i izdataka'!$P$3:$P$504,"=54")+SUMIFS('Unos rashoda P4'!$J$3:$J$501,'Unos rashoda P4'!$A$3:$A$501,"=51",'Unos rashoda P4'!$S$3:$S$501,"=54")</f>
        <v>0</v>
      </c>
      <c r="J35" s="74">
        <f>SUMIFS('Unos rashoda i izdataka'!$L$3:$L$504,'Unos rashoda i izdataka'!$C$3:$C$504,"=52",'Unos rashoda i izdataka'!$P$3:$P$504,"=54")+SUMIFS('Unos rashoda P4'!$J$3:$J$501,'Unos rashoda P4'!$A$3:$A$501,"=52",'Unos rashoda P4'!$S$3:$S$501,"=54")</f>
        <v>0</v>
      </c>
      <c r="K35" s="74">
        <f>SUMIFS('Unos rashoda i izdataka'!$L$3:$L$504,'Unos rashoda i izdataka'!$C$3:$C$504,"=552",'Unos rashoda i izdataka'!$P$3:$P$504,"=54")+SUMIFS('Unos rashoda P4'!$J$3:$J$501,'Unos rashoda P4'!$A$3:$A$501,"=552",'Unos rashoda P4'!$S$3:$S$501,"=54")</f>
        <v>0</v>
      </c>
      <c r="L35" s="74">
        <f>SUMIFS('Unos rashoda i izdataka'!$L$3:$L$504,'Unos rashoda i izdataka'!$C$3:$C$504,"=559",'Unos rashoda i izdataka'!$P$3:$P$504,"=54")+SUMIFS('Unos rashoda P4'!$J$3:$J$501,'Unos rashoda P4'!$A$3:$A$501,"=559",'Unos rashoda P4'!$S$3:$S$501,"=54")</f>
        <v>0</v>
      </c>
      <c r="M35" s="74">
        <f>SUMIFS('Unos rashoda i izdataka'!$L$3:$L$504,'Unos rashoda i izdataka'!$C$3:$C$504,"=561",'Unos rashoda i izdataka'!$P$3:$P$504,"=54")+SUMIFS('Unos rashoda P4'!$J$3:$J$501,'Unos rashoda P4'!$A$3:$A$501,"=561",'Unos rashoda P4'!$S$3:$S$501,"=54")</f>
        <v>0</v>
      </c>
      <c r="N35" s="74">
        <f>SUMIFS('Unos rashoda i izdataka'!$L$3:$L$504,'Unos rashoda i izdataka'!$C$3:$C$504,"=563",'Unos rashoda i izdataka'!$P$3:$P$504,"=54")+SUMIFS('Unos rashoda P4'!$J$3:$J$501,'Unos rashoda P4'!$A$3:$A$501,"=563",'Unos rashoda P4'!$S$3:$S$501,"=54")</f>
        <v>0</v>
      </c>
      <c r="O35" s="74">
        <f>SUMIFS('Unos rashoda i izdataka'!$L$3:$L$504,'Unos rashoda i izdataka'!$C$3:$C$504,"=573",'Unos rashoda i izdataka'!$P$3:$P$504,"=54")+SUMIFS('Unos rashoda P4'!$J$3:$J$501,'Unos rashoda P4'!$A$3:$A$501,"=573",'Unos rashoda P4'!$S$3:$S$501,"=54")</f>
        <v>0</v>
      </c>
      <c r="P35" s="74">
        <f>SUMIFS('Unos rashoda i izdataka'!$L$3:$L$504,'Unos rashoda i izdataka'!$C$3:$C$504,"=575",'Unos rashoda i izdataka'!$P$3:$P$504,"=54")+SUMIFS('Unos rashoda P4'!$J$3:$J$501,'Unos rashoda P4'!$A$3:$A$501,"=575",'Unos rashoda P4'!$S$3:$S$501,"=54")</f>
        <v>0</v>
      </c>
      <c r="Q35" s="74">
        <f>SUMIFS('Unos rashoda i izdataka'!$L$3:$L$504,'Unos rashoda i izdataka'!$Q$3:$Q$504,"=576",'Unos rashoda i izdataka'!$P$3:$P$504,"=54")+SUMIFS('Unos rashoda P4'!$J$3:$J$501,'Unos rashoda P4'!$A$3:$A$501,"=576",'Unos rashoda P4'!$S$3:$S$501,"=54")</f>
        <v>0</v>
      </c>
      <c r="R35" s="74">
        <f>SUMIFS('Unos rashoda i izdataka'!$L$3:$L$504,'Unos rashoda i izdataka'!$C$3:$C$504,"=581",'Unos rashoda i izdataka'!$P$3:$P$504,"=54")+SUMIFS('Unos rashoda P4'!$J$3:$J$501,'Unos rashoda P4'!$A$3:$A$501,"=581",'Unos rashoda P4'!$S$3:$S$501,"=54")</f>
        <v>0</v>
      </c>
      <c r="S35" s="74">
        <f>SUMIFS('Unos rashoda i izdataka'!$L$3:$L$504,'Unos rashoda i izdataka'!$C$3:$C$504,"=61",'Unos rashoda i izdataka'!$P$3:$P$504,"=54")+SUMIFS('Unos rashoda P4'!$J$3:$J$501,'Unos rashoda P4'!$A$3:$A$501,"=61",'Unos rashoda P4'!$S$3:$S$501,"=54")</f>
        <v>0</v>
      </c>
      <c r="T35" s="74">
        <f>SUMIFS('Unos rashoda i izdataka'!$L$3:$L$504,'Unos rashoda i izdataka'!$C$3:$C$504,"=63",'Unos rashoda i izdataka'!$P$3:$P$504,"=54")+SUMIFS('Unos rashoda P4'!$J$3:$J$501,'Unos rashoda P4'!$A$3:$A$501,"=63",'Unos rashoda P4'!$S$3:$S$501,"=54")</f>
        <v>0</v>
      </c>
      <c r="U35" s="74">
        <f>SUMIFS('Unos rashoda i izdataka'!$L$3:$L$504,'Unos rashoda i izdataka'!$C$3:$C$504,"=71",'Unos rashoda i izdataka'!$P$3:$P$504,"=54")+SUMIFS('Unos rashoda P4'!$J$3:$J$501,'Unos rashoda P4'!$A$3:$A$501,"=71",'Unos rashoda P4'!$S$3:$S$501,"=54")</f>
        <v>0</v>
      </c>
      <c r="V35" s="74">
        <f>SUMIFS('Unos rashoda i izdataka'!$L$3:$L$504,'Unos rashoda i izdataka'!$C$3:$C$504,"=81",'Unos rashoda i izdataka'!$P$3:$P$504,"=54")+SUMIFS('Unos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4.4"/>
  <cols>
    <col min="1" max="1" width="14" style="135" customWidth="1"/>
    <col min="2" max="2" width="41.44140625" style="135" customWidth="1"/>
    <col min="4" max="4" width="62.6640625" customWidth="1"/>
    <col min="5" max="5" width="9.109375" style="318"/>
    <col min="6" max="6" width="43.109375" bestFit="1" customWidth="1"/>
    <col min="7" max="8" width="9.33203125" style="302" customWidth="1"/>
  </cols>
  <sheetData>
    <row r="1" spans="1:8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4.4"/>
  <cols>
    <col min="1" max="1" width="22.554687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4" bestFit="1" customWidth="1"/>
    <col min="4" max="5" width="23.6640625" style="165" customWidth="1"/>
    <col min="6" max="6" width="11.6640625" style="163" customWidth="1"/>
  </cols>
  <sheetData>
    <row r="1" spans="1:6" ht="20.399999999999999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77" customWidth="1"/>
    <col min="2" max="2" width="6.88671875" style="282" customWidth="1"/>
    <col min="3" max="4" width="81.6640625" style="278" customWidth="1"/>
    <col min="5" max="5" width="37.109375" style="278" customWidth="1"/>
    <col min="6" max="6" width="24.6640625" style="279" customWidth="1"/>
    <col min="7" max="7" width="11.6640625" style="278" customWidth="1"/>
    <col min="8" max="8" width="12" style="283" bestFit="1" customWidth="1"/>
    <col min="9" max="9" width="21.6640625" style="225" customWidth="1"/>
    <col min="10" max="257" width="9.109375" style="225"/>
    <col min="258" max="258" width="4.5546875" style="225" customWidth="1"/>
    <col min="259" max="259" width="6.88671875" style="225" customWidth="1"/>
    <col min="260" max="260" width="81.6640625" style="225" customWidth="1"/>
    <col min="261" max="261" width="37.109375" style="225" customWidth="1"/>
    <col min="262" max="262" width="24.6640625" style="225" customWidth="1"/>
    <col min="263" max="263" width="11.6640625" style="225" customWidth="1"/>
    <col min="264" max="264" width="12" style="225" bestFit="1" customWidth="1"/>
    <col min="265" max="265" width="21.6640625" style="225" customWidth="1"/>
    <col min="266" max="513" width="9.109375" style="225"/>
    <col min="514" max="514" width="4.5546875" style="225" customWidth="1"/>
    <col min="515" max="515" width="6.88671875" style="225" customWidth="1"/>
    <col min="516" max="516" width="81.6640625" style="225" customWidth="1"/>
    <col min="517" max="517" width="37.109375" style="225" customWidth="1"/>
    <col min="518" max="518" width="24.6640625" style="225" customWidth="1"/>
    <col min="519" max="519" width="11.6640625" style="225" customWidth="1"/>
    <col min="520" max="520" width="12" style="225" bestFit="1" customWidth="1"/>
    <col min="521" max="521" width="21.6640625" style="225" customWidth="1"/>
    <col min="522" max="769" width="9.109375" style="225"/>
    <col min="770" max="770" width="4.5546875" style="225" customWidth="1"/>
    <col min="771" max="771" width="6.88671875" style="225" customWidth="1"/>
    <col min="772" max="772" width="81.6640625" style="225" customWidth="1"/>
    <col min="773" max="773" width="37.109375" style="225" customWidth="1"/>
    <col min="774" max="774" width="24.6640625" style="225" customWidth="1"/>
    <col min="775" max="775" width="11.6640625" style="225" customWidth="1"/>
    <col min="776" max="776" width="12" style="225" bestFit="1" customWidth="1"/>
    <col min="777" max="777" width="21.6640625" style="225" customWidth="1"/>
    <col min="778" max="1025" width="9.109375" style="225"/>
    <col min="1026" max="1026" width="4.5546875" style="225" customWidth="1"/>
    <col min="1027" max="1027" width="6.88671875" style="225" customWidth="1"/>
    <col min="1028" max="1028" width="81.6640625" style="225" customWidth="1"/>
    <col min="1029" max="1029" width="37.109375" style="225" customWidth="1"/>
    <col min="1030" max="1030" width="24.6640625" style="225" customWidth="1"/>
    <col min="1031" max="1031" width="11.6640625" style="225" customWidth="1"/>
    <col min="1032" max="1032" width="12" style="225" bestFit="1" customWidth="1"/>
    <col min="1033" max="1033" width="21.6640625" style="225" customWidth="1"/>
    <col min="1034" max="1281" width="9.109375" style="225"/>
    <col min="1282" max="1282" width="4.5546875" style="225" customWidth="1"/>
    <col min="1283" max="1283" width="6.88671875" style="225" customWidth="1"/>
    <col min="1284" max="1284" width="81.6640625" style="225" customWidth="1"/>
    <col min="1285" max="1285" width="37.109375" style="225" customWidth="1"/>
    <col min="1286" max="1286" width="24.6640625" style="225" customWidth="1"/>
    <col min="1287" max="1287" width="11.6640625" style="225" customWidth="1"/>
    <col min="1288" max="1288" width="12" style="225" bestFit="1" customWidth="1"/>
    <col min="1289" max="1289" width="21.6640625" style="225" customWidth="1"/>
    <col min="1290" max="1537" width="9.109375" style="225"/>
    <col min="1538" max="1538" width="4.5546875" style="225" customWidth="1"/>
    <col min="1539" max="1539" width="6.88671875" style="225" customWidth="1"/>
    <col min="1540" max="1540" width="81.6640625" style="225" customWidth="1"/>
    <col min="1541" max="1541" width="37.109375" style="225" customWidth="1"/>
    <col min="1542" max="1542" width="24.6640625" style="225" customWidth="1"/>
    <col min="1543" max="1543" width="11.6640625" style="225" customWidth="1"/>
    <col min="1544" max="1544" width="12" style="225" bestFit="1" customWidth="1"/>
    <col min="1545" max="1545" width="21.6640625" style="225" customWidth="1"/>
    <col min="1546" max="1793" width="9.109375" style="225"/>
    <col min="1794" max="1794" width="4.5546875" style="225" customWidth="1"/>
    <col min="1795" max="1795" width="6.88671875" style="225" customWidth="1"/>
    <col min="1796" max="1796" width="81.6640625" style="225" customWidth="1"/>
    <col min="1797" max="1797" width="37.109375" style="225" customWidth="1"/>
    <col min="1798" max="1798" width="24.6640625" style="225" customWidth="1"/>
    <col min="1799" max="1799" width="11.6640625" style="225" customWidth="1"/>
    <col min="1800" max="1800" width="12" style="225" bestFit="1" customWidth="1"/>
    <col min="1801" max="1801" width="21.6640625" style="225" customWidth="1"/>
    <col min="1802" max="2049" width="9.109375" style="225"/>
    <col min="2050" max="2050" width="4.5546875" style="225" customWidth="1"/>
    <col min="2051" max="2051" width="6.88671875" style="225" customWidth="1"/>
    <col min="2052" max="2052" width="81.6640625" style="225" customWidth="1"/>
    <col min="2053" max="2053" width="37.109375" style="225" customWidth="1"/>
    <col min="2054" max="2054" width="24.6640625" style="225" customWidth="1"/>
    <col min="2055" max="2055" width="11.6640625" style="225" customWidth="1"/>
    <col min="2056" max="2056" width="12" style="225" bestFit="1" customWidth="1"/>
    <col min="2057" max="2057" width="21.6640625" style="225" customWidth="1"/>
    <col min="2058" max="2305" width="9.109375" style="225"/>
    <col min="2306" max="2306" width="4.5546875" style="225" customWidth="1"/>
    <col min="2307" max="2307" width="6.88671875" style="225" customWidth="1"/>
    <col min="2308" max="2308" width="81.6640625" style="225" customWidth="1"/>
    <col min="2309" max="2309" width="37.109375" style="225" customWidth="1"/>
    <col min="2310" max="2310" width="24.6640625" style="225" customWidth="1"/>
    <col min="2311" max="2311" width="11.6640625" style="225" customWidth="1"/>
    <col min="2312" max="2312" width="12" style="225" bestFit="1" customWidth="1"/>
    <col min="2313" max="2313" width="21.6640625" style="225" customWidth="1"/>
    <col min="2314" max="2561" width="9.109375" style="225"/>
    <col min="2562" max="2562" width="4.5546875" style="225" customWidth="1"/>
    <col min="2563" max="2563" width="6.88671875" style="225" customWidth="1"/>
    <col min="2564" max="2564" width="81.6640625" style="225" customWidth="1"/>
    <col min="2565" max="2565" width="37.109375" style="225" customWidth="1"/>
    <col min="2566" max="2566" width="24.6640625" style="225" customWidth="1"/>
    <col min="2567" max="2567" width="11.6640625" style="225" customWidth="1"/>
    <col min="2568" max="2568" width="12" style="225" bestFit="1" customWidth="1"/>
    <col min="2569" max="2569" width="21.6640625" style="225" customWidth="1"/>
    <col min="2570" max="2817" width="9.109375" style="225"/>
    <col min="2818" max="2818" width="4.5546875" style="225" customWidth="1"/>
    <col min="2819" max="2819" width="6.88671875" style="225" customWidth="1"/>
    <col min="2820" max="2820" width="81.6640625" style="225" customWidth="1"/>
    <col min="2821" max="2821" width="37.109375" style="225" customWidth="1"/>
    <col min="2822" max="2822" width="24.6640625" style="225" customWidth="1"/>
    <col min="2823" max="2823" width="11.6640625" style="225" customWidth="1"/>
    <col min="2824" max="2824" width="12" style="225" bestFit="1" customWidth="1"/>
    <col min="2825" max="2825" width="21.6640625" style="225" customWidth="1"/>
    <col min="2826" max="3073" width="9.109375" style="225"/>
    <col min="3074" max="3074" width="4.5546875" style="225" customWidth="1"/>
    <col min="3075" max="3075" width="6.88671875" style="225" customWidth="1"/>
    <col min="3076" max="3076" width="81.6640625" style="225" customWidth="1"/>
    <col min="3077" max="3077" width="37.109375" style="225" customWidth="1"/>
    <col min="3078" max="3078" width="24.6640625" style="225" customWidth="1"/>
    <col min="3079" max="3079" width="11.6640625" style="225" customWidth="1"/>
    <col min="3080" max="3080" width="12" style="225" bestFit="1" customWidth="1"/>
    <col min="3081" max="3081" width="21.6640625" style="225" customWidth="1"/>
    <col min="3082" max="3329" width="9.109375" style="225"/>
    <col min="3330" max="3330" width="4.5546875" style="225" customWidth="1"/>
    <col min="3331" max="3331" width="6.88671875" style="225" customWidth="1"/>
    <col min="3332" max="3332" width="81.6640625" style="225" customWidth="1"/>
    <col min="3333" max="3333" width="37.109375" style="225" customWidth="1"/>
    <col min="3334" max="3334" width="24.6640625" style="225" customWidth="1"/>
    <col min="3335" max="3335" width="11.6640625" style="225" customWidth="1"/>
    <col min="3336" max="3336" width="12" style="225" bestFit="1" customWidth="1"/>
    <col min="3337" max="3337" width="21.6640625" style="225" customWidth="1"/>
    <col min="3338" max="3585" width="9.109375" style="225"/>
    <col min="3586" max="3586" width="4.5546875" style="225" customWidth="1"/>
    <col min="3587" max="3587" width="6.88671875" style="225" customWidth="1"/>
    <col min="3588" max="3588" width="81.6640625" style="225" customWidth="1"/>
    <col min="3589" max="3589" width="37.109375" style="225" customWidth="1"/>
    <col min="3590" max="3590" width="24.6640625" style="225" customWidth="1"/>
    <col min="3591" max="3591" width="11.6640625" style="225" customWidth="1"/>
    <col min="3592" max="3592" width="12" style="225" bestFit="1" customWidth="1"/>
    <col min="3593" max="3593" width="21.6640625" style="225" customWidth="1"/>
    <col min="3594" max="3841" width="9.109375" style="225"/>
    <col min="3842" max="3842" width="4.5546875" style="225" customWidth="1"/>
    <col min="3843" max="3843" width="6.88671875" style="225" customWidth="1"/>
    <col min="3844" max="3844" width="81.6640625" style="225" customWidth="1"/>
    <col min="3845" max="3845" width="37.109375" style="225" customWidth="1"/>
    <col min="3846" max="3846" width="24.6640625" style="225" customWidth="1"/>
    <col min="3847" max="3847" width="11.6640625" style="225" customWidth="1"/>
    <col min="3848" max="3848" width="12" style="225" bestFit="1" customWidth="1"/>
    <col min="3849" max="3849" width="21.6640625" style="225" customWidth="1"/>
    <col min="3850" max="4097" width="9.109375" style="225"/>
    <col min="4098" max="4098" width="4.5546875" style="225" customWidth="1"/>
    <col min="4099" max="4099" width="6.88671875" style="225" customWidth="1"/>
    <col min="4100" max="4100" width="81.6640625" style="225" customWidth="1"/>
    <col min="4101" max="4101" width="37.109375" style="225" customWidth="1"/>
    <col min="4102" max="4102" width="24.6640625" style="225" customWidth="1"/>
    <col min="4103" max="4103" width="11.6640625" style="225" customWidth="1"/>
    <col min="4104" max="4104" width="12" style="225" bestFit="1" customWidth="1"/>
    <col min="4105" max="4105" width="21.6640625" style="225" customWidth="1"/>
    <col min="4106" max="4353" width="9.109375" style="225"/>
    <col min="4354" max="4354" width="4.5546875" style="225" customWidth="1"/>
    <col min="4355" max="4355" width="6.88671875" style="225" customWidth="1"/>
    <col min="4356" max="4356" width="81.6640625" style="225" customWidth="1"/>
    <col min="4357" max="4357" width="37.109375" style="225" customWidth="1"/>
    <col min="4358" max="4358" width="24.6640625" style="225" customWidth="1"/>
    <col min="4359" max="4359" width="11.6640625" style="225" customWidth="1"/>
    <col min="4360" max="4360" width="12" style="225" bestFit="1" customWidth="1"/>
    <col min="4361" max="4361" width="21.6640625" style="225" customWidth="1"/>
    <col min="4362" max="4609" width="9.109375" style="225"/>
    <col min="4610" max="4610" width="4.5546875" style="225" customWidth="1"/>
    <col min="4611" max="4611" width="6.88671875" style="225" customWidth="1"/>
    <col min="4612" max="4612" width="81.6640625" style="225" customWidth="1"/>
    <col min="4613" max="4613" width="37.109375" style="225" customWidth="1"/>
    <col min="4614" max="4614" width="24.6640625" style="225" customWidth="1"/>
    <col min="4615" max="4615" width="11.6640625" style="225" customWidth="1"/>
    <col min="4616" max="4616" width="12" style="225" bestFit="1" customWidth="1"/>
    <col min="4617" max="4617" width="21.6640625" style="225" customWidth="1"/>
    <col min="4618" max="4865" width="9.109375" style="225"/>
    <col min="4866" max="4866" width="4.5546875" style="225" customWidth="1"/>
    <col min="4867" max="4867" width="6.88671875" style="225" customWidth="1"/>
    <col min="4868" max="4868" width="81.6640625" style="225" customWidth="1"/>
    <col min="4869" max="4869" width="37.109375" style="225" customWidth="1"/>
    <col min="4870" max="4870" width="24.6640625" style="225" customWidth="1"/>
    <col min="4871" max="4871" width="11.6640625" style="225" customWidth="1"/>
    <col min="4872" max="4872" width="12" style="225" bestFit="1" customWidth="1"/>
    <col min="4873" max="4873" width="21.6640625" style="225" customWidth="1"/>
    <col min="4874" max="5121" width="9.109375" style="225"/>
    <col min="5122" max="5122" width="4.5546875" style="225" customWidth="1"/>
    <col min="5123" max="5123" width="6.88671875" style="225" customWidth="1"/>
    <col min="5124" max="5124" width="81.6640625" style="225" customWidth="1"/>
    <col min="5125" max="5125" width="37.109375" style="225" customWidth="1"/>
    <col min="5126" max="5126" width="24.6640625" style="225" customWidth="1"/>
    <col min="5127" max="5127" width="11.6640625" style="225" customWidth="1"/>
    <col min="5128" max="5128" width="12" style="225" bestFit="1" customWidth="1"/>
    <col min="5129" max="5129" width="21.6640625" style="225" customWidth="1"/>
    <col min="5130" max="5377" width="9.109375" style="225"/>
    <col min="5378" max="5378" width="4.5546875" style="225" customWidth="1"/>
    <col min="5379" max="5379" width="6.88671875" style="225" customWidth="1"/>
    <col min="5380" max="5380" width="81.6640625" style="225" customWidth="1"/>
    <col min="5381" max="5381" width="37.109375" style="225" customWidth="1"/>
    <col min="5382" max="5382" width="24.6640625" style="225" customWidth="1"/>
    <col min="5383" max="5383" width="11.6640625" style="225" customWidth="1"/>
    <col min="5384" max="5384" width="12" style="225" bestFit="1" customWidth="1"/>
    <col min="5385" max="5385" width="21.6640625" style="225" customWidth="1"/>
    <col min="5386" max="5633" width="9.109375" style="225"/>
    <col min="5634" max="5634" width="4.5546875" style="225" customWidth="1"/>
    <col min="5635" max="5635" width="6.88671875" style="225" customWidth="1"/>
    <col min="5636" max="5636" width="81.6640625" style="225" customWidth="1"/>
    <col min="5637" max="5637" width="37.109375" style="225" customWidth="1"/>
    <col min="5638" max="5638" width="24.6640625" style="225" customWidth="1"/>
    <col min="5639" max="5639" width="11.6640625" style="225" customWidth="1"/>
    <col min="5640" max="5640" width="12" style="225" bestFit="1" customWidth="1"/>
    <col min="5641" max="5641" width="21.6640625" style="225" customWidth="1"/>
    <col min="5642" max="5889" width="9.109375" style="225"/>
    <col min="5890" max="5890" width="4.5546875" style="225" customWidth="1"/>
    <col min="5891" max="5891" width="6.88671875" style="225" customWidth="1"/>
    <col min="5892" max="5892" width="81.6640625" style="225" customWidth="1"/>
    <col min="5893" max="5893" width="37.109375" style="225" customWidth="1"/>
    <col min="5894" max="5894" width="24.6640625" style="225" customWidth="1"/>
    <col min="5895" max="5895" width="11.6640625" style="225" customWidth="1"/>
    <col min="5896" max="5896" width="12" style="225" bestFit="1" customWidth="1"/>
    <col min="5897" max="5897" width="21.6640625" style="225" customWidth="1"/>
    <col min="5898" max="6145" width="9.109375" style="225"/>
    <col min="6146" max="6146" width="4.5546875" style="225" customWidth="1"/>
    <col min="6147" max="6147" width="6.88671875" style="225" customWidth="1"/>
    <col min="6148" max="6148" width="81.6640625" style="225" customWidth="1"/>
    <col min="6149" max="6149" width="37.109375" style="225" customWidth="1"/>
    <col min="6150" max="6150" width="24.6640625" style="225" customWidth="1"/>
    <col min="6151" max="6151" width="11.6640625" style="225" customWidth="1"/>
    <col min="6152" max="6152" width="12" style="225" bestFit="1" customWidth="1"/>
    <col min="6153" max="6153" width="21.6640625" style="225" customWidth="1"/>
    <col min="6154" max="6401" width="9.109375" style="225"/>
    <col min="6402" max="6402" width="4.5546875" style="225" customWidth="1"/>
    <col min="6403" max="6403" width="6.88671875" style="225" customWidth="1"/>
    <col min="6404" max="6404" width="81.6640625" style="225" customWidth="1"/>
    <col min="6405" max="6405" width="37.109375" style="225" customWidth="1"/>
    <col min="6406" max="6406" width="24.6640625" style="225" customWidth="1"/>
    <col min="6407" max="6407" width="11.6640625" style="225" customWidth="1"/>
    <col min="6408" max="6408" width="12" style="225" bestFit="1" customWidth="1"/>
    <col min="6409" max="6409" width="21.6640625" style="225" customWidth="1"/>
    <col min="6410" max="6657" width="9.109375" style="225"/>
    <col min="6658" max="6658" width="4.5546875" style="225" customWidth="1"/>
    <col min="6659" max="6659" width="6.88671875" style="225" customWidth="1"/>
    <col min="6660" max="6660" width="81.6640625" style="225" customWidth="1"/>
    <col min="6661" max="6661" width="37.109375" style="225" customWidth="1"/>
    <col min="6662" max="6662" width="24.6640625" style="225" customWidth="1"/>
    <col min="6663" max="6663" width="11.6640625" style="225" customWidth="1"/>
    <col min="6664" max="6664" width="12" style="225" bestFit="1" customWidth="1"/>
    <col min="6665" max="6665" width="21.6640625" style="225" customWidth="1"/>
    <col min="6666" max="6913" width="9.109375" style="225"/>
    <col min="6914" max="6914" width="4.5546875" style="225" customWidth="1"/>
    <col min="6915" max="6915" width="6.88671875" style="225" customWidth="1"/>
    <col min="6916" max="6916" width="81.6640625" style="225" customWidth="1"/>
    <col min="6917" max="6917" width="37.109375" style="225" customWidth="1"/>
    <col min="6918" max="6918" width="24.6640625" style="225" customWidth="1"/>
    <col min="6919" max="6919" width="11.6640625" style="225" customWidth="1"/>
    <col min="6920" max="6920" width="12" style="225" bestFit="1" customWidth="1"/>
    <col min="6921" max="6921" width="21.6640625" style="225" customWidth="1"/>
    <col min="6922" max="7169" width="9.109375" style="225"/>
    <col min="7170" max="7170" width="4.5546875" style="225" customWidth="1"/>
    <col min="7171" max="7171" width="6.88671875" style="225" customWidth="1"/>
    <col min="7172" max="7172" width="81.6640625" style="225" customWidth="1"/>
    <col min="7173" max="7173" width="37.109375" style="225" customWidth="1"/>
    <col min="7174" max="7174" width="24.6640625" style="225" customWidth="1"/>
    <col min="7175" max="7175" width="11.6640625" style="225" customWidth="1"/>
    <col min="7176" max="7176" width="12" style="225" bestFit="1" customWidth="1"/>
    <col min="7177" max="7177" width="21.6640625" style="225" customWidth="1"/>
    <col min="7178" max="7425" width="9.109375" style="225"/>
    <col min="7426" max="7426" width="4.5546875" style="225" customWidth="1"/>
    <col min="7427" max="7427" width="6.88671875" style="225" customWidth="1"/>
    <col min="7428" max="7428" width="81.6640625" style="225" customWidth="1"/>
    <col min="7429" max="7429" width="37.109375" style="225" customWidth="1"/>
    <col min="7430" max="7430" width="24.6640625" style="225" customWidth="1"/>
    <col min="7431" max="7431" width="11.6640625" style="225" customWidth="1"/>
    <col min="7432" max="7432" width="12" style="225" bestFit="1" customWidth="1"/>
    <col min="7433" max="7433" width="21.6640625" style="225" customWidth="1"/>
    <col min="7434" max="7681" width="9.109375" style="225"/>
    <col min="7682" max="7682" width="4.5546875" style="225" customWidth="1"/>
    <col min="7683" max="7683" width="6.88671875" style="225" customWidth="1"/>
    <col min="7684" max="7684" width="81.6640625" style="225" customWidth="1"/>
    <col min="7685" max="7685" width="37.109375" style="225" customWidth="1"/>
    <col min="7686" max="7686" width="24.6640625" style="225" customWidth="1"/>
    <col min="7687" max="7687" width="11.6640625" style="225" customWidth="1"/>
    <col min="7688" max="7688" width="12" style="225" bestFit="1" customWidth="1"/>
    <col min="7689" max="7689" width="21.6640625" style="225" customWidth="1"/>
    <col min="7690" max="7937" width="9.109375" style="225"/>
    <col min="7938" max="7938" width="4.5546875" style="225" customWidth="1"/>
    <col min="7939" max="7939" width="6.88671875" style="225" customWidth="1"/>
    <col min="7940" max="7940" width="81.6640625" style="225" customWidth="1"/>
    <col min="7941" max="7941" width="37.109375" style="225" customWidth="1"/>
    <col min="7942" max="7942" width="24.6640625" style="225" customWidth="1"/>
    <col min="7943" max="7943" width="11.6640625" style="225" customWidth="1"/>
    <col min="7944" max="7944" width="12" style="225" bestFit="1" customWidth="1"/>
    <col min="7945" max="7945" width="21.6640625" style="225" customWidth="1"/>
    <col min="7946" max="8193" width="9.109375" style="225"/>
    <col min="8194" max="8194" width="4.5546875" style="225" customWidth="1"/>
    <col min="8195" max="8195" width="6.88671875" style="225" customWidth="1"/>
    <col min="8196" max="8196" width="81.6640625" style="225" customWidth="1"/>
    <col min="8197" max="8197" width="37.109375" style="225" customWidth="1"/>
    <col min="8198" max="8198" width="24.6640625" style="225" customWidth="1"/>
    <col min="8199" max="8199" width="11.6640625" style="225" customWidth="1"/>
    <col min="8200" max="8200" width="12" style="225" bestFit="1" customWidth="1"/>
    <col min="8201" max="8201" width="21.6640625" style="225" customWidth="1"/>
    <col min="8202" max="8449" width="9.109375" style="225"/>
    <col min="8450" max="8450" width="4.5546875" style="225" customWidth="1"/>
    <col min="8451" max="8451" width="6.88671875" style="225" customWidth="1"/>
    <col min="8452" max="8452" width="81.6640625" style="225" customWidth="1"/>
    <col min="8453" max="8453" width="37.109375" style="225" customWidth="1"/>
    <col min="8454" max="8454" width="24.6640625" style="225" customWidth="1"/>
    <col min="8455" max="8455" width="11.6640625" style="225" customWidth="1"/>
    <col min="8456" max="8456" width="12" style="225" bestFit="1" customWidth="1"/>
    <col min="8457" max="8457" width="21.6640625" style="225" customWidth="1"/>
    <col min="8458" max="8705" width="9.109375" style="225"/>
    <col min="8706" max="8706" width="4.5546875" style="225" customWidth="1"/>
    <col min="8707" max="8707" width="6.88671875" style="225" customWidth="1"/>
    <col min="8708" max="8708" width="81.6640625" style="225" customWidth="1"/>
    <col min="8709" max="8709" width="37.109375" style="225" customWidth="1"/>
    <col min="8710" max="8710" width="24.6640625" style="225" customWidth="1"/>
    <col min="8711" max="8711" width="11.6640625" style="225" customWidth="1"/>
    <col min="8712" max="8712" width="12" style="225" bestFit="1" customWidth="1"/>
    <col min="8713" max="8713" width="21.6640625" style="225" customWidth="1"/>
    <col min="8714" max="8961" width="9.109375" style="225"/>
    <col min="8962" max="8962" width="4.5546875" style="225" customWidth="1"/>
    <col min="8963" max="8963" width="6.88671875" style="225" customWidth="1"/>
    <col min="8964" max="8964" width="81.6640625" style="225" customWidth="1"/>
    <col min="8965" max="8965" width="37.109375" style="225" customWidth="1"/>
    <col min="8966" max="8966" width="24.6640625" style="225" customWidth="1"/>
    <col min="8967" max="8967" width="11.6640625" style="225" customWidth="1"/>
    <col min="8968" max="8968" width="12" style="225" bestFit="1" customWidth="1"/>
    <col min="8969" max="8969" width="21.6640625" style="225" customWidth="1"/>
    <col min="8970" max="9217" width="9.109375" style="225"/>
    <col min="9218" max="9218" width="4.5546875" style="225" customWidth="1"/>
    <col min="9219" max="9219" width="6.88671875" style="225" customWidth="1"/>
    <col min="9220" max="9220" width="81.6640625" style="225" customWidth="1"/>
    <col min="9221" max="9221" width="37.109375" style="225" customWidth="1"/>
    <col min="9222" max="9222" width="24.6640625" style="225" customWidth="1"/>
    <col min="9223" max="9223" width="11.6640625" style="225" customWidth="1"/>
    <col min="9224" max="9224" width="12" style="225" bestFit="1" customWidth="1"/>
    <col min="9225" max="9225" width="21.6640625" style="225" customWidth="1"/>
    <col min="9226" max="9473" width="9.109375" style="225"/>
    <col min="9474" max="9474" width="4.5546875" style="225" customWidth="1"/>
    <col min="9475" max="9475" width="6.88671875" style="225" customWidth="1"/>
    <col min="9476" max="9476" width="81.6640625" style="225" customWidth="1"/>
    <col min="9477" max="9477" width="37.109375" style="225" customWidth="1"/>
    <col min="9478" max="9478" width="24.6640625" style="225" customWidth="1"/>
    <col min="9479" max="9479" width="11.6640625" style="225" customWidth="1"/>
    <col min="9480" max="9480" width="12" style="225" bestFit="1" customWidth="1"/>
    <col min="9481" max="9481" width="21.6640625" style="225" customWidth="1"/>
    <col min="9482" max="9729" width="9.109375" style="225"/>
    <col min="9730" max="9730" width="4.5546875" style="225" customWidth="1"/>
    <col min="9731" max="9731" width="6.88671875" style="225" customWidth="1"/>
    <col min="9732" max="9732" width="81.6640625" style="225" customWidth="1"/>
    <col min="9733" max="9733" width="37.109375" style="225" customWidth="1"/>
    <col min="9734" max="9734" width="24.6640625" style="225" customWidth="1"/>
    <col min="9735" max="9735" width="11.6640625" style="225" customWidth="1"/>
    <col min="9736" max="9736" width="12" style="225" bestFit="1" customWidth="1"/>
    <col min="9737" max="9737" width="21.6640625" style="225" customWidth="1"/>
    <col min="9738" max="9985" width="9.109375" style="225"/>
    <col min="9986" max="9986" width="4.5546875" style="225" customWidth="1"/>
    <col min="9987" max="9987" width="6.88671875" style="225" customWidth="1"/>
    <col min="9988" max="9988" width="81.6640625" style="225" customWidth="1"/>
    <col min="9989" max="9989" width="37.109375" style="225" customWidth="1"/>
    <col min="9990" max="9990" width="24.6640625" style="225" customWidth="1"/>
    <col min="9991" max="9991" width="11.6640625" style="225" customWidth="1"/>
    <col min="9992" max="9992" width="12" style="225" bestFit="1" customWidth="1"/>
    <col min="9993" max="9993" width="21.6640625" style="225" customWidth="1"/>
    <col min="9994" max="10241" width="9.109375" style="225"/>
    <col min="10242" max="10242" width="4.5546875" style="225" customWidth="1"/>
    <col min="10243" max="10243" width="6.88671875" style="225" customWidth="1"/>
    <col min="10244" max="10244" width="81.6640625" style="225" customWidth="1"/>
    <col min="10245" max="10245" width="37.109375" style="225" customWidth="1"/>
    <col min="10246" max="10246" width="24.6640625" style="225" customWidth="1"/>
    <col min="10247" max="10247" width="11.6640625" style="225" customWidth="1"/>
    <col min="10248" max="10248" width="12" style="225" bestFit="1" customWidth="1"/>
    <col min="10249" max="10249" width="21.6640625" style="225" customWidth="1"/>
    <col min="10250" max="10497" width="9.109375" style="225"/>
    <col min="10498" max="10498" width="4.5546875" style="225" customWidth="1"/>
    <col min="10499" max="10499" width="6.88671875" style="225" customWidth="1"/>
    <col min="10500" max="10500" width="81.6640625" style="225" customWidth="1"/>
    <col min="10501" max="10501" width="37.109375" style="225" customWidth="1"/>
    <col min="10502" max="10502" width="24.6640625" style="225" customWidth="1"/>
    <col min="10503" max="10503" width="11.6640625" style="225" customWidth="1"/>
    <col min="10504" max="10504" width="12" style="225" bestFit="1" customWidth="1"/>
    <col min="10505" max="10505" width="21.6640625" style="225" customWidth="1"/>
    <col min="10506" max="10753" width="9.109375" style="225"/>
    <col min="10754" max="10754" width="4.5546875" style="225" customWidth="1"/>
    <col min="10755" max="10755" width="6.88671875" style="225" customWidth="1"/>
    <col min="10756" max="10756" width="81.6640625" style="225" customWidth="1"/>
    <col min="10757" max="10757" width="37.109375" style="225" customWidth="1"/>
    <col min="10758" max="10758" width="24.6640625" style="225" customWidth="1"/>
    <col min="10759" max="10759" width="11.6640625" style="225" customWidth="1"/>
    <col min="10760" max="10760" width="12" style="225" bestFit="1" customWidth="1"/>
    <col min="10761" max="10761" width="21.6640625" style="225" customWidth="1"/>
    <col min="10762" max="11009" width="9.109375" style="225"/>
    <col min="11010" max="11010" width="4.5546875" style="225" customWidth="1"/>
    <col min="11011" max="11011" width="6.88671875" style="225" customWidth="1"/>
    <col min="11012" max="11012" width="81.6640625" style="225" customWidth="1"/>
    <col min="11013" max="11013" width="37.109375" style="225" customWidth="1"/>
    <col min="11014" max="11014" width="24.6640625" style="225" customWidth="1"/>
    <col min="11015" max="11015" width="11.6640625" style="225" customWidth="1"/>
    <col min="11016" max="11016" width="12" style="225" bestFit="1" customWidth="1"/>
    <col min="11017" max="11017" width="21.6640625" style="225" customWidth="1"/>
    <col min="11018" max="11265" width="9.109375" style="225"/>
    <col min="11266" max="11266" width="4.5546875" style="225" customWidth="1"/>
    <col min="11267" max="11267" width="6.88671875" style="225" customWidth="1"/>
    <col min="11268" max="11268" width="81.6640625" style="225" customWidth="1"/>
    <col min="11269" max="11269" width="37.109375" style="225" customWidth="1"/>
    <col min="11270" max="11270" width="24.6640625" style="225" customWidth="1"/>
    <col min="11271" max="11271" width="11.6640625" style="225" customWidth="1"/>
    <col min="11272" max="11272" width="12" style="225" bestFit="1" customWidth="1"/>
    <col min="11273" max="11273" width="21.6640625" style="225" customWidth="1"/>
    <col min="11274" max="11521" width="9.109375" style="225"/>
    <col min="11522" max="11522" width="4.5546875" style="225" customWidth="1"/>
    <col min="11523" max="11523" width="6.88671875" style="225" customWidth="1"/>
    <col min="11524" max="11524" width="81.6640625" style="225" customWidth="1"/>
    <col min="11525" max="11525" width="37.109375" style="225" customWidth="1"/>
    <col min="11526" max="11526" width="24.6640625" style="225" customWidth="1"/>
    <col min="11527" max="11527" width="11.6640625" style="225" customWidth="1"/>
    <col min="11528" max="11528" width="12" style="225" bestFit="1" customWidth="1"/>
    <col min="11529" max="11529" width="21.6640625" style="225" customWidth="1"/>
    <col min="11530" max="11777" width="9.109375" style="225"/>
    <col min="11778" max="11778" width="4.5546875" style="225" customWidth="1"/>
    <col min="11779" max="11779" width="6.88671875" style="225" customWidth="1"/>
    <col min="11780" max="11780" width="81.6640625" style="225" customWidth="1"/>
    <col min="11781" max="11781" width="37.109375" style="225" customWidth="1"/>
    <col min="11782" max="11782" width="24.6640625" style="225" customWidth="1"/>
    <col min="11783" max="11783" width="11.6640625" style="225" customWidth="1"/>
    <col min="11784" max="11784" width="12" style="225" bestFit="1" customWidth="1"/>
    <col min="11785" max="11785" width="21.6640625" style="225" customWidth="1"/>
    <col min="11786" max="12033" width="9.109375" style="225"/>
    <col min="12034" max="12034" width="4.5546875" style="225" customWidth="1"/>
    <col min="12035" max="12035" width="6.88671875" style="225" customWidth="1"/>
    <col min="12036" max="12036" width="81.6640625" style="225" customWidth="1"/>
    <col min="12037" max="12037" width="37.109375" style="225" customWidth="1"/>
    <col min="12038" max="12038" width="24.6640625" style="225" customWidth="1"/>
    <col min="12039" max="12039" width="11.6640625" style="225" customWidth="1"/>
    <col min="12040" max="12040" width="12" style="225" bestFit="1" customWidth="1"/>
    <col min="12041" max="12041" width="21.6640625" style="225" customWidth="1"/>
    <col min="12042" max="12289" width="9.109375" style="225"/>
    <col min="12290" max="12290" width="4.5546875" style="225" customWidth="1"/>
    <col min="12291" max="12291" width="6.88671875" style="225" customWidth="1"/>
    <col min="12292" max="12292" width="81.6640625" style="225" customWidth="1"/>
    <col min="12293" max="12293" width="37.109375" style="225" customWidth="1"/>
    <col min="12294" max="12294" width="24.6640625" style="225" customWidth="1"/>
    <col min="12295" max="12295" width="11.6640625" style="225" customWidth="1"/>
    <col min="12296" max="12296" width="12" style="225" bestFit="1" customWidth="1"/>
    <col min="12297" max="12297" width="21.6640625" style="225" customWidth="1"/>
    <col min="12298" max="12545" width="9.109375" style="225"/>
    <col min="12546" max="12546" width="4.5546875" style="225" customWidth="1"/>
    <col min="12547" max="12547" width="6.88671875" style="225" customWidth="1"/>
    <col min="12548" max="12548" width="81.6640625" style="225" customWidth="1"/>
    <col min="12549" max="12549" width="37.109375" style="225" customWidth="1"/>
    <col min="12550" max="12550" width="24.6640625" style="225" customWidth="1"/>
    <col min="12551" max="12551" width="11.6640625" style="225" customWidth="1"/>
    <col min="12552" max="12552" width="12" style="225" bestFit="1" customWidth="1"/>
    <col min="12553" max="12553" width="21.6640625" style="225" customWidth="1"/>
    <col min="12554" max="12801" width="9.109375" style="225"/>
    <col min="12802" max="12802" width="4.5546875" style="225" customWidth="1"/>
    <col min="12803" max="12803" width="6.88671875" style="225" customWidth="1"/>
    <col min="12804" max="12804" width="81.6640625" style="225" customWidth="1"/>
    <col min="12805" max="12805" width="37.109375" style="225" customWidth="1"/>
    <col min="12806" max="12806" width="24.6640625" style="225" customWidth="1"/>
    <col min="12807" max="12807" width="11.6640625" style="225" customWidth="1"/>
    <col min="12808" max="12808" width="12" style="225" bestFit="1" customWidth="1"/>
    <col min="12809" max="12809" width="21.6640625" style="225" customWidth="1"/>
    <col min="12810" max="13057" width="9.109375" style="225"/>
    <col min="13058" max="13058" width="4.5546875" style="225" customWidth="1"/>
    <col min="13059" max="13059" width="6.88671875" style="225" customWidth="1"/>
    <col min="13060" max="13060" width="81.6640625" style="225" customWidth="1"/>
    <col min="13061" max="13061" width="37.109375" style="225" customWidth="1"/>
    <col min="13062" max="13062" width="24.6640625" style="225" customWidth="1"/>
    <col min="13063" max="13063" width="11.6640625" style="225" customWidth="1"/>
    <col min="13064" max="13064" width="12" style="225" bestFit="1" customWidth="1"/>
    <col min="13065" max="13065" width="21.6640625" style="225" customWidth="1"/>
    <col min="13066" max="13313" width="9.109375" style="225"/>
    <col min="13314" max="13314" width="4.5546875" style="225" customWidth="1"/>
    <col min="13315" max="13315" width="6.88671875" style="225" customWidth="1"/>
    <col min="13316" max="13316" width="81.6640625" style="225" customWidth="1"/>
    <col min="13317" max="13317" width="37.109375" style="225" customWidth="1"/>
    <col min="13318" max="13318" width="24.6640625" style="225" customWidth="1"/>
    <col min="13319" max="13319" width="11.6640625" style="225" customWidth="1"/>
    <col min="13320" max="13320" width="12" style="225" bestFit="1" customWidth="1"/>
    <col min="13321" max="13321" width="21.6640625" style="225" customWidth="1"/>
    <col min="13322" max="13569" width="9.109375" style="225"/>
    <col min="13570" max="13570" width="4.5546875" style="225" customWidth="1"/>
    <col min="13571" max="13571" width="6.88671875" style="225" customWidth="1"/>
    <col min="13572" max="13572" width="81.6640625" style="225" customWidth="1"/>
    <col min="13573" max="13573" width="37.109375" style="225" customWidth="1"/>
    <col min="13574" max="13574" width="24.6640625" style="225" customWidth="1"/>
    <col min="13575" max="13575" width="11.6640625" style="225" customWidth="1"/>
    <col min="13576" max="13576" width="12" style="225" bestFit="1" customWidth="1"/>
    <col min="13577" max="13577" width="21.6640625" style="225" customWidth="1"/>
    <col min="13578" max="13825" width="9.109375" style="225"/>
    <col min="13826" max="13826" width="4.5546875" style="225" customWidth="1"/>
    <col min="13827" max="13827" width="6.88671875" style="225" customWidth="1"/>
    <col min="13828" max="13828" width="81.6640625" style="225" customWidth="1"/>
    <col min="13829" max="13829" width="37.109375" style="225" customWidth="1"/>
    <col min="13830" max="13830" width="24.6640625" style="225" customWidth="1"/>
    <col min="13831" max="13831" width="11.6640625" style="225" customWidth="1"/>
    <col min="13832" max="13832" width="12" style="225" bestFit="1" customWidth="1"/>
    <col min="13833" max="13833" width="21.6640625" style="225" customWidth="1"/>
    <col min="13834" max="14081" width="9.109375" style="225"/>
    <col min="14082" max="14082" width="4.5546875" style="225" customWidth="1"/>
    <col min="14083" max="14083" width="6.88671875" style="225" customWidth="1"/>
    <col min="14084" max="14084" width="81.6640625" style="225" customWidth="1"/>
    <col min="14085" max="14085" width="37.109375" style="225" customWidth="1"/>
    <col min="14086" max="14086" width="24.6640625" style="225" customWidth="1"/>
    <col min="14087" max="14087" width="11.6640625" style="225" customWidth="1"/>
    <col min="14088" max="14088" width="12" style="225" bestFit="1" customWidth="1"/>
    <col min="14089" max="14089" width="21.6640625" style="225" customWidth="1"/>
    <col min="14090" max="14337" width="9.109375" style="225"/>
    <col min="14338" max="14338" width="4.5546875" style="225" customWidth="1"/>
    <col min="14339" max="14339" width="6.88671875" style="225" customWidth="1"/>
    <col min="14340" max="14340" width="81.6640625" style="225" customWidth="1"/>
    <col min="14341" max="14341" width="37.109375" style="225" customWidth="1"/>
    <col min="14342" max="14342" width="24.6640625" style="225" customWidth="1"/>
    <col min="14343" max="14343" width="11.6640625" style="225" customWidth="1"/>
    <col min="14344" max="14344" width="12" style="225" bestFit="1" customWidth="1"/>
    <col min="14345" max="14345" width="21.6640625" style="225" customWidth="1"/>
    <col min="14346" max="14593" width="9.109375" style="225"/>
    <col min="14594" max="14594" width="4.5546875" style="225" customWidth="1"/>
    <col min="14595" max="14595" width="6.88671875" style="225" customWidth="1"/>
    <col min="14596" max="14596" width="81.6640625" style="225" customWidth="1"/>
    <col min="14597" max="14597" width="37.109375" style="225" customWidth="1"/>
    <col min="14598" max="14598" width="24.6640625" style="225" customWidth="1"/>
    <col min="14599" max="14599" width="11.6640625" style="225" customWidth="1"/>
    <col min="14600" max="14600" width="12" style="225" bestFit="1" customWidth="1"/>
    <col min="14601" max="14601" width="21.6640625" style="225" customWidth="1"/>
    <col min="14602" max="14849" width="9.109375" style="225"/>
    <col min="14850" max="14850" width="4.5546875" style="225" customWidth="1"/>
    <col min="14851" max="14851" width="6.88671875" style="225" customWidth="1"/>
    <col min="14852" max="14852" width="81.6640625" style="225" customWidth="1"/>
    <col min="14853" max="14853" width="37.109375" style="225" customWidth="1"/>
    <col min="14854" max="14854" width="24.6640625" style="225" customWidth="1"/>
    <col min="14855" max="14855" width="11.6640625" style="225" customWidth="1"/>
    <col min="14856" max="14856" width="12" style="225" bestFit="1" customWidth="1"/>
    <col min="14857" max="14857" width="21.6640625" style="225" customWidth="1"/>
    <col min="14858" max="15105" width="9.109375" style="225"/>
    <col min="15106" max="15106" width="4.5546875" style="225" customWidth="1"/>
    <col min="15107" max="15107" width="6.88671875" style="225" customWidth="1"/>
    <col min="15108" max="15108" width="81.6640625" style="225" customWidth="1"/>
    <col min="15109" max="15109" width="37.109375" style="225" customWidth="1"/>
    <col min="15110" max="15110" width="24.6640625" style="225" customWidth="1"/>
    <col min="15111" max="15111" width="11.6640625" style="225" customWidth="1"/>
    <col min="15112" max="15112" width="12" style="225" bestFit="1" customWidth="1"/>
    <col min="15113" max="15113" width="21.6640625" style="225" customWidth="1"/>
    <col min="15114" max="15361" width="9.109375" style="225"/>
    <col min="15362" max="15362" width="4.5546875" style="225" customWidth="1"/>
    <col min="15363" max="15363" width="6.88671875" style="225" customWidth="1"/>
    <col min="15364" max="15364" width="81.6640625" style="225" customWidth="1"/>
    <col min="15365" max="15365" width="37.109375" style="225" customWidth="1"/>
    <col min="15366" max="15366" width="24.6640625" style="225" customWidth="1"/>
    <col min="15367" max="15367" width="11.6640625" style="225" customWidth="1"/>
    <col min="15368" max="15368" width="12" style="225" bestFit="1" customWidth="1"/>
    <col min="15369" max="15369" width="21.6640625" style="225" customWidth="1"/>
    <col min="15370" max="15617" width="9.109375" style="225"/>
    <col min="15618" max="15618" width="4.5546875" style="225" customWidth="1"/>
    <col min="15619" max="15619" width="6.88671875" style="225" customWidth="1"/>
    <col min="15620" max="15620" width="81.6640625" style="225" customWidth="1"/>
    <col min="15621" max="15621" width="37.109375" style="225" customWidth="1"/>
    <col min="15622" max="15622" width="24.6640625" style="225" customWidth="1"/>
    <col min="15623" max="15623" width="11.6640625" style="225" customWidth="1"/>
    <col min="15624" max="15624" width="12" style="225" bestFit="1" customWidth="1"/>
    <col min="15625" max="15625" width="21.6640625" style="225" customWidth="1"/>
    <col min="15626" max="15873" width="9.109375" style="225"/>
    <col min="15874" max="15874" width="4.5546875" style="225" customWidth="1"/>
    <col min="15875" max="15875" width="6.88671875" style="225" customWidth="1"/>
    <col min="15876" max="15876" width="81.6640625" style="225" customWidth="1"/>
    <col min="15877" max="15877" width="37.109375" style="225" customWidth="1"/>
    <col min="15878" max="15878" width="24.6640625" style="225" customWidth="1"/>
    <col min="15879" max="15879" width="11.6640625" style="225" customWidth="1"/>
    <col min="15880" max="15880" width="12" style="225" bestFit="1" customWidth="1"/>
    <col min="15881" max="15881" width="21.6640625" style="225" customWidth="1"/>
    <col min="15882" max="16129" width="9.109375" style="225"/>
    <col min="16130" max="16130" width="4.5546875" style="225" customWidth="1"/>
    <col min="16131" max="16131" width="6.88671875" style="225" customWidth="1"/>
    <col min="16132" max="16132" width="81.6640625" style="225" customWidth="1"/>
    <col min="16133" max="16133" width="37.109375" style="225" customWidth="1"/>
    <col min="16134" max="16134" width="24.6640625" style="225" customWidth="1"/>
    <col min="16135" max="16135" width="11.6640625" style="225" customWidth="1"/>
    <col min="16136" max="16136" width="12" style="225" bestFit="1" customWidth="1"/>
    <col min="16137" max="16137" width="21.6640625" style="225" customWidth="1"/>
    <col min="16138" max="16384" width="9.109375" style="225"/>
  </cols>
  <sheetData>
    <row r="1" spans="1:10" ht="18" customHeight="1" thickBot="1">
      <c r="A1" s="392" t="s">
        <v>3533</v>
      </c>
      <c r="B1" s="392"/>
      <c r="C1" s="392"/>
      <c r="D1" s="392"/>
      <c r="E1" s="392"/>
      <c r="F1" s="392"/>
      <c r="G1" s="392"/>
      <c r="H1" s="39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2.8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2.8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2.8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2.8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2.8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2.8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2.8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2.8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2.8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13.2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2.8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93" t="s">
        <v>5071</v>
      </c>
      <c r="B615" s="393"/>
      <c r="C615" s="393"/>
      <c r="D615" s="393"/>
      <c r="E615" s="393"/>
      <c r="F615" s="393"/>
      <c r="G615" s="393"/>
      <c r="H615" s="39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3532-8C75-446D-AFD5-040F99417B98}">
  <dimension ref="A1"/>
  <sheetViews>
    <sheetView workbookViewId="0">
      <selection activeCell="D30" sqref="D30"/>
    </sheetView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5"/>
  <sheetViews>
    <sheetView showGridLines="0" zoomScale="90" zoomScaleNormal="90" workbookViewId="0">
      <pane ySplit="2" topLeftCell="A3" activePane="bottomLeft" state="frozen"/>
      <selection pane="bottomLeft" activeCell="I15" sqref="I15"/>
    </sheetView>
  </sheetViews>
  <sheetFormatPr defaultColWidth="9.109375" defaultRowHeight="14.4" zeroHeight="1"/>
  <cols>
    <col min="1" max="1" width="7.88671875" style="302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6" customWidth="1"/>
    <col min="8" max="8" width="17" style="6" customWidth="1"/>
    <col min="9" max="9" width="16.44140625" style="6" customWidth="1"/>
    <col min="10" max="10" width="46.88671875" customWidth="1"/>
    <col min="11" max="12" width="9.109375" customWidth="1"/>
    <col min="13" max="13" width="11.44140625" customWidth="1"/>
    <col min="14" max="14" width="9.109375" customWidth="1"/>
    <col min="15" max="15" width="26.44140625" customWidth="1"/>
    <col min="16" max="17" width="9.109375" customWidth="1"/>
    <col min="18" max="18" width="12.33203125" customWidth="1"/>
    <col min="19" max="19" width="23.6640625" customWidth="1"/>
    <col min="20" max="20" width="9.109375" customWidth="1"/>
    <col min="21" max="21" width="14.33203125" customWidth="1"/>
    <col min="22" max="23" width="9.109375" customWidth="1"/>
  </cols>
  <sheetData>
    <row r="1" spans="1:23" ht="37.5" customHeight="1">
      <c r="A1" s="383" t="s">
        <v>5252</v>
      </c>
      <c r="B1" s="383"/>
      <c r="C1" s="383"/>
      <c r="D1" s="383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5271</v>
      </c>
      <c r="H2" s="330" t="s">
        <v>5264</v>
      </c>
      <c r="I2" s="330" t="s">
        <v>5272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9">
        <f t="shared" ref="C3:C8" si="0">IFERROR(VLOOKUP(E3,$R$6:$U$114,3,FALSE),"")</f>
        <v>11</v>
      </c>
      <c r="D3" s="72" t="str">
        <f t="shared" ref="D3:D8" si="1">IFERROR(VLOOKUP(E3,$R$6:$U$114,4,FALSE),"")</f>
        <v>Opći prihodi i primici</v>
      </c>
      <c r="E3" s="84" t="s">
        <v>649</v>
      </c>
      <c r="F3" s="122" t="str">
        <f t="shared" ref="F3:F8" si="2">IFERROR(VLOOKUP(E3,$R$6:$U$114,2,FALSE),"")</f>
        <v>Prihodi iz nadležnog proračuna za financiranje redovne djelatnosti proračunskih korisnika</v>
      </c>
      <c r="G3" s="117">
        <v>5415165</v>
      </c>
      <c r="H3" s="117">
        <v>667864</v>
      </c>
      <c r="I3" s="117">
        <v>6083029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9">
        <f t="shared" si="0"/>
        <v>43</v>
      </c>
      <c r="D4" s="366" t="str">
        <f t="shared" si="1"/>
        <v>Ostali prihodi za posebne namjene</v>
      </c>
      <c r="E4" s="84">
        <v>65264</v>
      </c>
      <c r="F4" s="367" t="str">
        <f t="shared" si="2"/>
        <v>Sufinanciranje cijene usluge, participacije i slično</v>
      </c>
      <c r="G4" s="363">
        <v>358258</v>
      </c>
      <c r="H4" s="363">
        <v>-32997</v>
      </c>
      <c r="I4" s="363">
        <v>325261</v>
      </c>
      <c r="J4" s="84"/>
      <c r="L4" s="75" t="str">
        <f t="shared" ref="L4:L68" si="3">LEFT(E4,2)</f>
        <v>65</v>
      </c>
      <c r="M4" s="75" t="str">
        <f t="shared" ref="M4:M68" si="4">LEFT(E4,3)</f>
        <v>652</v>
      </c>
    </row>
    <row r="5" spans="1:23">
      <c r="A5" s="73" t="str">
        <f>IF(E5="","",VLOOKUP('[1]OPĆI DIO'!$C$3,'[1]OPĆI DIO'!$L$6:$U$138,10,FALSE))</f>
        <v>08006</v>
      </c>
      <c r="B5" s="73" t="str">
        <f>IF(E5="","",VLOOKUP('[1]OPĆI DIO'!$C$3,'[1]OPĆI DIO'!$L$6:$U$138,9,FALSE))</f>
        <v>Sveučilišta i veleučilišta u Republici Hrvatskoj</v>
      </c>
      <c r="C5" s="119">
        <f t="shared" si="0"/>
        <v>31</v>
      </c>
      <c r="D5" s="366" t="str">
        <f t="shared" si="1"/>
        <v>Vlastiti prihodi</v>
      </c>
      <c r="E5" s="84">
        <v>6615</v>
      </c>
      <c r="F5" s="367" t="str">
        <f t="shared" si="2"/>
        <v>Prihodi od pruženih usluga</v>
      </c>
      <c r="G5" s="363">
        <v>35529</v>
      </c>
      <c r="H5" s="363"/>
      <c r="I5" s="363">
        <v>35529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 t="str">
        <f>IF(E6="","",VLOOKUP('[1]OPĆI DIO'!$C$3,'[1]OPĆI DIO'!$L$6:$U$138,10,FALSE))</f>
        <v>08006</v>
      </c>
      <c r="B6" s="73" t="str">
        <f>IF(E6="","",VLOOKUP('[1]OPĆI DIO'!$C$3,'[1]OPĆI DIO'!$L$6:$U$138,9,FALSE))</f>
        <v>Sveučilišta i veleučilišta u Republici Hrvatskoj</v>
      </c>
      <c r="C6" s="119">
        <f t="shared" si="0"/>
        <v>61</v>
      </c>
      <c r="D6" s="366" t="str">
        <f t="shared" si="1"/>
        <v xml:space="preserve">Donacije </v>
      </c>
      <c r="E6" s="84">
        <v>663130000</v>
      </c>
      <c r="F6" s="367" t="str">
        <f t="shared" si="2"/>
        <v>Tekuće donacije od trgovačkih društava</v>
      </c>
      <c r="G6" s="363">
        <v>1500</v>
      </c>
      <c r="H6" s="363">
        <v>-1000</v>
      </c>
      <c r="I6" s="363">
        <v>500</v>
      </c>
      <c r="J6" s="84"/>
      <c r="L6" s="75" t="str">
        <f t="shared" si="3"/>
        <v>66</v>
      </c>
      <c r="M6" s="75" t="str">
        <f t="shared" si="4"/>
        <v>663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IF(E7="","",VLOOKUP('[1]OPĆI DIO'!$C$3,'[1]OPĆI DIO'!$L$6:$U$138,10,FALSE))</f>
        <v>08006</v>
      </c>
      <c r="B7" s="73" t="str">
        <f>IF(E7="","",VLOOKUP('[1]OPĆI DIO'!$C$3,'[1]OPĆI DIO'!$L$6:$U$138,9,FALSE))</f>
        <v>Sveučilišta i veleučilišta u Republici Hrvatskoj</v>
      </c>
      <c r="C7" s="119">
        <f t="shared" si="0"/>
        <v>51</v>
      </c>
      <c r="D7" s="366" t="str">
        <f t="shared" si="1"/>
        <v xml:space="preserve">Pomoći EU </v>
      </c>
      <c r="E7" s="84">
        <v>632311700</v>
      </c>
      <c r="F7" s="367" t="str">
        <f t="shared" si="2"/>
        <v>Tekuće pomoći od institucija i tijela EU - ostalo</v>
      </c>
      <c r="G7" s="363"/>
      <c r="H7" s="363">
        <v>17111</v>
      </c>
      <c r="I7" s="363">
        <v>17111</v>
      </c>
      <c r="J7" s="84"/>
      <c r="L7" s="75" t="str">
        <f t="shared" si="3"/>
        <v>63</v>
      </c>
      <c r="M7" s="75" t="str">
        <f t="shared" si="4"/>
        <v>632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IF(E8="","",VLOOKUP('[1]OPĆI DIO'!$C$3,'[1]OPĆI DIO'!$L$6:$U$138,10,FALSE))</f>
        <v>08006</v>
      </c>
      <c r="B8" s="73" t="str">
        <f>IF(E8="","",VLOOKUP('[1]OPĆI DIO'!$C$3,'[1]OPĆI DIO'!$L$6:$U$138,9,FALSE))</f>
        <v>Sveučilišta i veleučilišta u Republici Hrvatskoj</v>
      </c>
      <c r="C8" s="119">
        <f t="shared" si="0"/>
        <v>52</v>
      </c>
      <c r="D8" s="366" t="str">
        <f t="shared" si="1"/>
        <v xml:space="preserve">Ostale pomoći i darovnice </v>
      </c>
      <c r="E8" s="84">
        <v>6361</v>
      </c>
      <c r="F8" s="367" t="str">
        <f t="shared" si="2"/>
        <v>Tekuće pomoći proračunskim korisnicima iz proračuna JLP(R)S koji im nije nadležan</v>
      </c>
      <c r="G8" s="363"/>
      <c r="H8" s="363">
        <v>89261</v>
      </c>
      <c r="I8" s="363">
        <v>89261</v>
      </c>
      <c r="J8" s="84"/>
      <c r="L8" s="75" t="str">
        <f t="shared" si="3"/>
        <v>63</v>
      </c>
      <c r="M8" s="75" t="str">
        <f t="shared" si="4"/>
        <v>636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/>
      <c r="B9" s="73"/>
      <c r="C9" s="119"/>
      <c r="D9" s="366"/>
      <c r="E9" s="84"/>
      <c r="F9" s="367"/>
      <c r="G9" s="363"/>
      <c r="H9" s="363"/>
      <c r="I9" s="363"/>
      <c r="J9" s="84"/>
      <c r="L9" s="75"/>
      <c r="M9" s="75"/>
      <c r="N9" s="75"/>
      <c r="O9" s="75"/>
      <c r="R9" s="5"/>
      <c r="S9" s="5"/>
      <c r="T9" s="5"/>
      <c r="U9" s="5"/>
    </row>
    <row r="10" spans="1:23">
      <c r="A10" s="337" t="str">
        <f>IF(E10="","",VLOOKUP('OPĆI DIO'!$C$3,'OPĆI DIO'!$L$6:$U$138,10,FALSE))</f>
        <v/>
      </c>
      <c r="B10" s="73" t="str">
        <f>IF(E10="","",VLOOKUP('OPĆI DIO'!$C$3,'OPĆI DIO'!$L$6:$U$138,9,FALSE))</f>
        <v/>
      </c>
      <c r="C10" s="85"/>
      <c r="D10" s="366"/>
      <c r="E10" s="360"/>
      <c r="F10" s="367"/>
      <c r="G10" s="363"/>
      <c r="H10" s="363"/>
      <c r="I10" s="363"/>
      <c r="J10" s="84"/>
      <c r="L10" s="75" t="str">
        <f t="shared" si="3"/>
        <v/>
      </c>
      <c r="M10" s="75" t="str">
        <f t="shared" si="4"/>
        <v/>
      </c>
      <c r="N10">
        <v>41</v>
      </c>
      <c r="O10" t="s">
        <v>1208</v>
      </c>
      <c r="R10" s="5">
        <v>614820041</v>
      </c>
      <c r="S10" s="5" t="s">
        <v>1213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/>
      </c>
      <c r="B11" s="73" t="str">
        <f>IF(E11="","",VLOOKUP('OPĆI DIO'!$C$3,'OPĆI DIO'!$L$6:$U$138,9,FALSE))</f>
        <v/>
      </c>
      <c r="C11" s="85"/>
      <c r="D11" s="72"/>
      <c r="E11" s="85"/>
      <c r="F11" s="122"/>
      <c r="G11" s="117"/>
      <c r="H11" s="117"/>
      <c r="I11" s="117"/>
      <c r="J11" s="84"/>
      <c r="L11" s="75" t="str">
        <f t="shared" si="3"/>
        <v/>
      </c>
      <c r="M11" s="75" t="str">
        <f t="shared" si="4"/>
        <v/>
      </c>
      <c r="N11" s="75">
        <v>43</v>
      </c>
      <c r="O11" s="75" t="s">
        <v>96</v>
      </c>
      <c r="R11" s="5">
        <v>614830041</v>
      </c>
      <c r="S11" s="5" t="s">
        <v>1214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/>
      </c>
      <c r="B12" s="73" t="str">
        <f>IF(E12="","",VLOOKUP('OPĆI DIO'!$C$3,'OPĆI DIO'!$L$6:$U$138,9,FALSE))</f>
        <v/>
      </c>
      <c r="C12" s="85"/>
      <c r="D12" s="72"/>
      <c r="E12" s="85"/>
      <c r="F12" s="122"/>
      <c r="G12" s="117"/>
      <c r="H12" s="117"/>
      <c r="I12" s="117"/>
      <c r="J12" s="84"/>
      <c r="L12" s="75" t="str">
        <f t="shared" si="3"/>
        <v/>
      </c>
      <c r="M12" s="75" t="str">
        <f t="shared" si="4"/>
        <v/>
      </c>
      <c r="N12" s="75">
        <v>51</v>
      </c>
      <c r="O12" s="75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>
      <c r="A13" s="337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85"/>
      <c r="D13" s="72" t="str">
        <f t="shared" ref="D13:D44" si="5">IFERROR(VLOOKUP(E13,$R$6:$U$114,4,FALSE),"")</f>
        <v/>
      </c>
      <c r="E13" s="85"/>
      <c r="F13" s="122" t="str">
        <f t="shared" ref="F13:F44" si="6">IFERROR(VLOOKUP(E13,$R$6:$U$114,2,FALSE),"")</f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 s="75">
        <v>52</v>
      </c>
      <c r="O13" s="75" t="s">
        <v>109</v>
      </c>
      <c r="R13" s="5">
        <v>631110000</v>
      </c>
      <c r="S13" s="5" t="s">
        <v>22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85"/>
      <c r="D14" s="72" t="str">
        <f t="shared" si="5"/>
        <v/>
      </c>
      <c r="E14" s="85"/>
      <c r="F14" s="122" t="str">
        <f t="shared" si="6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552</v>
      </c>
      <c r="O14" t="s">
        <v>1209</v>
      </c>
      <c r="R14" s="5">
        <v>631120000</v>
      </c>
      <c r="S14" s="5" t="s">
        <v>23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85"/>
      <c r="D15" s="72" t="str">
        <f t="shared" si="5"/>
        <v/>
      </c>
      <c r="E15" s="85"/>
      <c r="F15" s="122" t="str">
        <f t="shared" si="6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>
        <v>559</v>
      </c>
      <c r="O15" t="s">
        <v>1210</v>
      </c>
      <c r="R15" s="5">
        <v>631210000</v>
      </c>
      <c r="S15" s="5" t="s">
        <v>24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85"/>
      <c r="D16" s="72" t="str">
        <f t="shared" si="5"/>
        <v/>
      </c>
      <c r="E16" s="85"/>
      <c r="F16" s="122" t="str">
        <f t="shared" si="6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561</v>
      </c>
      <c r="O16" s="75" t="s">
        <v>111</v>
      </c>
      <c r="R16" s="5">
        <v>631220000</v>
      </c>
      <c r="S16" s="5" t="s">
        <v>25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85"/>
      <c r="D17" s="72" t="str">
        <f t="shared" si="5"/>
        <v/>
      </c>
      <c r="E17" s="85"/>
      <c r="F17" s="122" t="str">
        <f t="shared" si="6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563</v>
      </c>
      <c r="O17" s="75" t="s">
        <v>113</v>
      </c>
      <c r="R17" s="5">
        <v>632112000</v>
      </c>
      <c r="S17" s="5" t="s">
        <v>1672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85"/>
      <c r="D18" s="72" t="str">
        <f t="shared" si="5"/>
        <v/>
      </c>
      <c r="E18" s="85"/>
      <c r="F18" s="122" t="str">
        <f t="shared" si="6"/>
        <v/>
      </c>
      <c r="G18" s="117"/>
      <c r="H18" s="363"/>
      <c r="I18" s="117"/>
      <c r="J18" s="84"/>
      <c r="L18" s="75" t="str">
        <f t="shared" si="3"/>
        <v/>
      </c>
      <c r="M18" s="75" t="str">
        <f t="shared" si="4"/>
        <v/>
      </c>
      <c r="N18" s="75">
        <v>573</v>
      </c>
      <c r="O18" t="s">
        <v>1220</v>
      </c>
      <c r="R18" s="5">
        <v>632212000</v>
      </c>
      <c r="S18" s="5" t="s">
        <v>1673</v>
      </c>
      <c r="T18" s="5">
        <v>52</v>
      </c>
      <c r="U18" s="5" t="s">
        <v>1671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85"/>
      <c r="D19" s="72" t="str">
        <f t="shared" si="5"/>
        <v/>
      </c>
      <c r="E19" s="85"/>
      <c r="F19" s="122" t="str">
        <f t="shared" si="6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>
        <v>575</v>
      </c>
      <c r="O19" t="s">
        <v>1222</v>
      </c>
      <c r="R19" s="5">
        <v>632310552</v>
      </c>
      <c r="S19" s="5" t="s">
        <v>1217</v>
      </c>
      <c r="T19" s="5">
        <v>552</v>
      </c>
      <c r="U19" s="5" t="s">
        <v>1209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85"/>
      <c r="D20" s="72" t="str">
        <f t="shared" si="5"/>
        <v/>
      </c>
      <c r="E20" s="85"/>
      <c r="F20" s="122" t="str">
        <f t="shared" si="6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5761</v>
      </c>
      <c r="O20" s="142" t="s">
        <v>3528</v>
      </c>
      <c r="R20" s="5">
        <v>632310559</v>
      </c>
      <c r="S20" s="5" t="s">
        <v>1218</v>
      </c>
      <c r="T20" s="5">
        <v>559</v>
      </c>
      <c r="U20" s="5" t="s">
        <v>1210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85"/>
      <c r="D21" s="72" t="str">
        <f t="shared" si="5"/>
        <v/>
      </c>
      <c r="E21" s="85"/>
      <c r="F21" s="122" t="str">
        <f t="shared" si="6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222">
        <v>5762</v>
      </c>
      <c r="O21" s="142" t="s">
        <v>3528</v>
      </c>
      <c r="R21" s="5">
        <v>632310561</v>
      </c>
      <c r="S21" s="5" t="s">
        <v>111</v>
      </c>
      <c r="T21" s="5">
        <v>561</v>
      </c>
      <c r="U21" s="5" t="s">
        <v>111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85"/>
      <c r="D22" s="72" t="str">
        <f t="shared" si="5"/>
        <v/>
      </c>
      <c r="E22" s="85"/>
      <c r="F22" s="122" t="str">
        <f t="shared" si="6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135">
        <v>581</v>
      </c>
      <c r="O22" s="169" t="s">
        <v>1777</v>
      </c>
      <c r="R22" s="5">
        <v>632310563</v>
      </c>
      <c r="S22" s="5" t="s">
        <v>1747</v>
      </c>
      <c r="T22" s="5">
        <v>563</v>
      </c>
      <c r="U22" s="5" t="s">
        <v>113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85"/>
      <c r="D23" s="72" t="str">
        <f t="shared" si="5"/>
        <v/>
      </c>
      <c r="E23" s="85"/>
      <c r="F23" s="122" t="str">
        <f t="shared" si="6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75">
        <v>61</v>
      </c>
      <c r="O23" s="75" t="s">
        <v>115</v>
      </c>
      <c r="R23" s="5">
        <v>632310573</v>
      </c>
      <c r="S23" s="5" t="s">
        <v>1219</v>
      </c>
      <c r="T23" s="5">
        <v>573</v>
      </c>
      <c r="U23" s="5" t="s">
        <v>1220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85"/>
      <c r="D24" s="72" t="str">
        <f t="shared" si="5"/>
        <v/>
      </c>
      <c r="E24" s="85"/>
      <c r="F24" s="122" t="str">
        <f t="shared" si="6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220">
        <v>63</v>
      </c>
      <c r="O24" s="75" t="s">
        <v>3524</v>
      </c>
      <c r="R24" s="5">
        <v>632310575</v>
      </c>
      <c r="S24" s="5" t="s">
        <v>1221</v>
      </c>
      <c r="T24" s="5">
        <v>575</v>
      </c>
      <c r="U24" s="5" t="s">
        <v>1222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85"/>
      <c r="D25" s="72" t="str">
        <f t="shared" si="5"/>
        <v/>
      </c>
      <c r="E25" s="85"/>
      <c r="F25" s="122" t="str">
        <f t="shared" si="6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71</v>
      </c>
      <c r="O25" s="75" t="s">
        <v>173</v>
      </c>
      <c r="R25" s="221">
        <v>632315761</v>
      </c>
      <c r="S25" s="221" t="s">
        <v>1778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85"/>
      <c r="D26" s="72" t="str">
        <f t="shared" si="5"/>
        <v/>
      </c>
      <c r="E26" s="85"/>
      <c r="F26" s="122" t="str">
        <f t="shared" si="6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>
        <v>81</v>
      </c>
      <c r="O26" s="75" t="s">
        <v>56</v>
      </c>
      <c r="R26" s="221">
        <v>632315762</v>
      </c>
      <c r="S26" s="221" t="s">
        <v>3526</v>
      </c>
      <c r="T26" s="221">
        <v>576</v>
      </c>
      <c r="U26" s="221" t="s">
        <v>1703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85"/>
      <c r="D27" s="72" t="str">
        <f t="shared" si="5"/>
        <v/>
      </c>
      <c r="E27" s="85"/>
      <c r="F27" s="122" t="str">
        <f t="shared" si="6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N27" s="75"/>
      <c r="O27" s="75"/>
      <c r="R27" s="5">
        <v>632310581</v>
      </c>
      <c r="S27" s="5" t="s">
        <v>1780</v>
      </c>
      <c r="T27" s="5">
        <v>581</v>
      </c>
      <c r="U27" s="5" t="s">
        <v>1777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85"/>
      <c r="D28" s="72" t="str">
        <f t="shared" si="5"/>
        <v/>
      </c>
      <c r="E28" s="85"/>
      <c r="F28" s="122" t="str">
        <f t="shared" si="6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632311700</v>
      </c>
      <c r="S28" s="5" t="s">
        <v>20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85"/>
      <c r="D29" s="72" t="str">
        <f t="shared" si="5"/>
        <v/>
      </c>
      <c r="E29" s="85"/>
      <c r="F29" s="122" t="str">
        <f t="shared" si="6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632311800</v>
      </c>
      <c r="S29" s="5" t="s">
        <v>217</v>
      </c>
      <c r="T29" s="5">
        <v>51</v>
      </c>
      <c r="U29" s="5" t="s">
        <v>1674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85"/>
      <c r="D30" s="72" t="str">
        <f t="shared" si="5"/>
        <v/>
      </c>
      <c r="E30" s="85"/>
      <c r="F30" s="122" t="str">
        <f t="shared" si="6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632410552</v>
      </c>
      <c r="S30" s="5" t="s">
        <v>1223</v>
      </c>
      <c r="T30" s="5">
        <v>552</v>
      </c>
      <c r="U30" s="5" t="s">
        <v>1209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85"/>
      <c r="D31" s="72" t="str">
        <f t="shared" si="5"/>
        <v/>
      </c>
      <c r="E31" s="85"/>
      <c r="F31" s="122" t="str">
        <f t="shared" si="6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632410559</v>
      </c>
      <c r="S31" s="5" t="s">
        <v>1224</v>
      </c>
      <c r="T31" s="5">
        <v>559</v>
      </c>
      <c r="U31" s="5" t="s">
        <v>1210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85"/>
      <c r="D32" s="72" t="str">
        <f t="shared" si="5"/>
        <v/>
      </c>
      <c r="E32" s="85"/>
      <c r="F32" s="122" t="str">
        <f t="shared" si="6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632410561</v>
      </c>
      <c r="S32" s="5" t="s">
        <v>111</v>
      </c>
      <c r="T32" s="5">
        <v>561</v>
      </c>
      <c r="U32" s="5" t="s">
        <v>111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85"/>
      <c r="D33" s="72" t="str">
        <f t="shared" si="5"/>
        <v/>
      </c>
      <c r="E33" s="85"/>
      <c r="F33" s="122" t="str">
        <f t="shared" si="6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632410563</v>
      </c>
      <c r="S33" s="5" t="s">
        <v>1747</v>
      </c>
      <c r="T33" s="5">
        <v>563</v>
      </c>
      <c r="U33" s="5" t="s">
        <v>113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85"/>
      <c r="D34" s="72" t="str">
        <f t="shared" si="5"/>
        <v/>
      </c>
      <c r="E34" s="85"/>
      <c r="F34" s="122" t="str">
        <f t="shared" si="6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632410573</v>
      </c>
      <c r="S34" s="5" t="s">
        <v>1225</v>
      </c>
      <c r="T34" s="5">
        <v>573</v>
      </c>
      <c r="U34" s="5" t="s">
        <v>1220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85"/>
      <c r="D35" s="72" t="str">
        <f t="shared" si="5"/>
        <v/>
      </c>
      <c r="E35" s="85"/>
      <c r="F35" s="122" t="str">
        <f t="shared" si="6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5">
        <v>632410575</v>
      </c>
      <c r="S35" s="5" t="s">
        <v>1226</v>
      </c>
      <c r="T35" s="5">
        <v>575</v>
      </c>
      <c r="U35" s="5" t="s">
        <v>1222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85"/>
      <c r="D36" s="72" t="str">
        <f t="shared" si="5"/>
        <v/>
      </c>
      <c r="E36" s="85"/>
      <c r="F36" s="122" t="str">
        <f t="shared" si="6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632415761</v>
      </c>
      <c r="S36" s="221" t="s">
        <v>1779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85"/>
      <c r="D37" s="72" t="str">
        <f t="shared" si="5"/>
        <v/>
      </c>
      <c r="E37" s="85"/>
      <c r="F37" s="122" t="str">
        <f t="shared" si="6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221">
        <v>632415762</v>
      </c>
      <c r="S37" s="221" t="s">
        <v>3527</v>
      </c>
      <c r="T37" s="221">
        <v>576</v>
      </c>
      <c r="U37" s="221" t="s">
        <v>1703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85"/>
      <c r="D38" s="72" t="str">
        <f t="shared" si="5"/>
        <v/>
      </c>
      <c r="E38" s="85"/>
      <c r="F38" s="122" t="str">
        <f t="shared" si="6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632410581</v>
      </c>
      <c r="S38" s="5" t="s">
        <v>1781</v>
      </c>
      <c r="T38" s="5">
        <v>581</v>
      </c>
      <c r="U38" s="5" t="s">
        <v>1777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85"/>
      <c r="D39" s="72" t="str">
        <f t="shared" si="5"/>
        <v/>
      </c>
      <c r="E39" s="85"/>
      <c r="F39" s="122" t="str">
        <f t="shared" si="6"/>
        <v/>
      </c>
      <c r="G39" s="117"/>
      <c r="H39" s="117"/>
      <c r="I39" s="117"/>
      <c r="J39" s="84"/>
      <c r="L39" s="75" t="str">
        <f t="shared" si="3"/>
        <v/>
      </c>
      <c r="M39" s="75" t="str">
        <f t="shared" si="4"/>
        <v/>
      </c>
      <c r="R39" s="5">
        <v>632411700</v>
      </c>
      <c r="S39" s="5" t="s">
        <v>21</v>
      </c>
      <c r="T39" s="5">
        <v>51</v>
      </c>
      <c r="U39" s="5" t="s">
        <v>1674</v>
      </c>
      <c r="V39">
        <v>632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85"/>
      <c r="D40" s="72" t="str">
        <f t="shared" si="5"/>
        <v/>
      </c>
      <c r="E40" s="85"/>
      <c r="F40" s="122" t="str">
        <f t="shared" si="6"/>
        <v/>
      </c>
      <c r="G40" s="117"/>
      <c r="H40" s="117"/>
      <c r="I40" s="117"/>
      <c r="J40" s="84"/>
      <c r="K40" s="329"/>
      <c r="L40" s="75" t="str">
        <f t="shared" si="3"/>
        <v/>
      </c>
      <c r="M40" s="326">
        <f>+G12+G13+G38</f>
        <v>0</v>
      </c>
      <c r="R40" s="5">
        <v>6341</v>
      </c>
      <c r="S40" s="5" t="s">
        <v>1705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85"/>
      <c r="D41" s="72" t="str">
        <f t="shared" si="5"/>
        <v/>
      </c>
      <c r="E41" s="85"/>
      <c r="F41" s="122" t="str">
        <f t="shared" si="6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6342</v>
      </c>
      <c r="S41" s="5" t="s">
        <v>1706</v>
      </c>
      <c r="T41" s="5">
        <v>52</v>
      </c>
      <c r="U41" s="5" t="s">
        <v>1671</v>
      </c>
      <c r="V41">
        <v>634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85"/>
      <c r="D42" s="72" t="str">
        <f t="shared" si="5"/>
        <v/>
      </c>
      <c r="E42" s="85"/>
      <c r="F42" s="122" t="str">
        <f t="shared" si="6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6361</v>
      </c>
      <c r="S42" s="5" t="s">
        <v>1675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85"/>
      <c r="D43" s="72" t="str">
        <f t="shared" si="5"/>
        <v/>
      </c>
      <c r="E43" s="85"/>
      <c r="F43" s="122" t="str">
        <f t="shared" si="6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6362</v>
      </c>
      <c r="S43" s="5" t="s">
        <v>1676</v>
      </c>
      <c r="T43" s="5">
        <v>52</v>
      </c>
      <c r="U43" s="5" t="s">
        <v>1671</v>
      </c>
      <c r="V43">
        <v>636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85"/>
      <c r="D44" s="72" t="str">
        <f t="shared" si="5"/>
        <v/>
      </c>
      <c r="E44" s="85"/>
      <c r="F44" s="122" t="str">
        <f t="shared" si="6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6381</v>
      </c>
      <c r="S44" s="5" t="s">
        <v>1782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85"/>
      <c r="D45" s="72" t="str">
        <f t="shared" ref="D45:D67" si="7">IFERROR(VLOOKUP(E45,$R$6:$U$114,4,FALSE),"")</f>
        <v/>
      </c>
      <c r="E45" s="85"/>
      <c r="F45" s="122" t="str">
        <f t="shared" ref="F45:F67" si="8">IFERROR(VLOOKUP(E45,$R$6:$U$114,2,FALSE),"")</f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6382</v>
      </c>
      <c r="S45" s="5" t="s">
        <v>1783</v>
      </c>
      <c r="T45" s="5">
        <v>52</v>
      </c>
      <c r="U45" s="5" t="s">
        <v>1671</v>
      </c>
      <c r="V45">
        <v>638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85"/>
      <c r="D46" s="72" t="str">
        <f t="shared" si="7"/>
        <v/>
      </c>
      <c r="E46" s="85"/>
      <c r="F46" s="122" t="str">
        <f t="shared" si="8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6391</v>
      </c>
      <c r="S46" s="5" t="s">
        <v>28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85"/>
      <c r="D47" s="72" t="str">
        <f t="shared" si="7"/>
        <v/>
      </c>
      <c r="E47" s="85"/>
      <c r="F47" s="122" t="str">
        <f t="shared" si="8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6392</v>
      </c>
      <c r="S47" s="5" t="s">
        <v>29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85"/>
      <c r="D48" s="72" t="str">
        <f t="shared" si="7"/>
        <v/>
      </c>
      <c r="E48" s="85"/>
      <c r="F48" s="122" t="str">
        <f t="shared" si="8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6393</v>
      </c>
      <c r="S48" s="5" t="s">
        <v>30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85"/>
      <c r="D49" s="72" t="str">
        <f t="shared" si="7"/>
        <v/>
      </c>
      <c r="E49" s="85"/>
      <c r="F49" s="122" t="str">
        <f t="shared" si="8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6394</v>
      </c>
      <c r="S49" s="5" t="s">
        <v>31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85"/>
      <c r="D50" s="72" t="str">
        <f t="shared" si="7"/>
        <v/>
      </c>
      <c r="E50" s="85"/>
      <c r="F50" s="122" t="str">
        <f t="shared" si="8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641290031</v>
      </c>
      <c r="S50" s="5" t="s">
        <v>206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85"/>
      <c r="D51" s="72" t="str">
        <f t="shared" si="7"/>
        <v/>
      </c>
      <c r="E51" s="85"/>
      <c r="F51" s="122" t="str">
        <f t="shared" si="8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641310031</v>
      </c>
      <c r="S51" s="5" t="s">
        <v>207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85"/>
      <c r="D52" s="72" t="str">
        <f t="shared" si="7"/>
        <v/>
      </c>
      <c r="E52" s="85"/>
      <c r="F52" s="122" t="str">
        <f t="shared" si="8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641320031</v>
      </c>
      <c r="S52" s="5" t="s">
        <v>208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85"/>
      <c r="D53" s="72" t="str">
        <f t="shared" si="7"/>
        <v/>
      </c>
      <c r="E53" s="85"/>
      <c r="F53" s="122" t="str">
        <f t="shared" si="8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641320043</v>
      </c>
      <c r="S53" s="5" t="s">
        <v>1677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85"/>
      <c r="D54" s="72" t="str">
        <f t="shared" si="7"/>
        <v/>
      </c>
      <c r="E54" s="85"/>
      <c r="F54" s="122" t="str">
        <f t="shared" si="8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641510031</v>
      </c>
      <c r="S54" s="5" t="s">
        <v>1678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85"/>
      <c r="D55" s="72" t="str">
        <f t="shared" si="7"/>
        <v/>
      </c>
      <c r="E55" s="85"/>
      <c r="F55" s="122" t="str">
        <f t="shared" si="8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641510043</v>
      </c>
      <c r="S55" s="5" t="s">
        <v>1679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85"/>
      <c r="D56" s="72" t="str">
        <f t="shared" si="7"/>
        <v/>
      </c>
      <c r="E56" s="85"/>
      <c r="F56" s="122" t="str">
        <f t="shared" si="8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641630031</v>
      </c>
      <c r="S56" s="5" t="s">
        <v>209</v>
      </c>
      <c r="T56" s="5">
        <v>31</v>
      </c>
      <c r="U56" s="5" t="s">
        <v>91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85"/>
      <c r="D57" s="72" t="str">
        <f t="shared" si="7"/>
        <v/>
      </c>
      <c r="E57" s="85"/>
      <c r="F57" s="122" t="str">
        <f t="shared" si="8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641720043</v>
      </c>
      <c r="S57" s="5" t="s">
        <v>212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85"/>
      <c r="D58" s="72" t="str">
        <f t="shared" si="7"/>
        <v/>
      </c>
      <c r="E58" s="85"/>
      <c r="F58" s="122" t="str">
        <f t="shared" si="8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641770041</v>
      </c>
      <c r="S58" s="5" t="s">
        <v>1216</v>
      </c>
      <c r="T58" s="5">
        <v>41</v>
      </c>
      <c r="U58" s="5" t="s">
        <v>1208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85"/>
      <c r="D59" s="72" t="str">
        <f t="shared" si="7"/>
        <v/>
      </c>
      <c r="E59" s="85"/>
      <c r="F59" s="122" t="str">
        <f t="shared" si="8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641990043</v>
      </c>
      <c r="S59" s="5" t="s">
        <v>1680</v>
      </c>
      <c r="T59" s="5">
        <v>43</v>
      </c>
      <c r="U59" s="5" t="s">
        <v>96</v>
      </c>
      <c r="V59">
        <v>641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85"/>
      <c r="D60" s="72" t="str">
        <f t="shared" si="7"/>
        <v/>
      </c>
      <c r="E60" s="85"/>
      <c r="F60" s="122" t="str">
        <f t="shared" si="8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642510031</v>
      </c>
      <c r="S60" s="5" t="s">
        <v>210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85"/>
      <c r="D61" s="72" t="str">
        <f t="shared" si="7"/>
        <v/>
      </c>
      <c r="E61" s="85"/>
      <c r="F61" s="122" t="str">
        <f t="shared" si="8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642990031</v>
      </c>
      <c r="S61" s="5" t="s">
        <v>211</v>
      </c>
      <c r="T61" s="5">
        <v>31</v>
      </c>
      <c r="U61" s="5" t="s">
        <v>91</v>
      </c>
      <c r="V61">
        <v>642</v>
      </c>
      <c r="W61">
        <v>64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85"/>
      <c r="D62" s="72" t="str">
        <f t="shared" si="7"/>
        <v/>
      </c>
      <c r="E62" s="85"/>
      <c r="F62" s="122" t="str">
        <f t="shared" si="8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65148</v>
      </c>
      <c r="S62" s="5" t="s">
        <v>19</v>
      </c>
      <c r="T62" s="5">
        <v>43</v>
      </c>
      <c r="U62" s="5" t="s">
        <v>96</v>
      </c>
      <c r="V62">
        <v>651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85"/>
      <c r="D63" s="72" t="str">
        <f t="shared" si="7"/>
        <v/>
      </c>
      <c r="E63" s="85"/>
      <c r="F63" s="122" t="str">
        <f t="shared" si="8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65218</v>
      </c>
      <c r="S63" s="5" t="s">
        <v>1681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85"/>
      <c r="D64" s="72" t="str">
        <f t="shared" si="7"/>
        <v/>
      </c>
      <c r="E64" s="85"/>
      <c r="F64" s="122" t="str">
        <f t="shared" si="8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65264</v>
      </c>
      <c r="S64" s="5" t="s">
        <v>213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85"/>
      <c r="D65" s="72" t="str">
        <f t="shared" si="7"/>
        <v/>
      </c>
      <c r="E65" s="85"/>
      <c r="F65" s="122" t="str">
        <f t="shared" si="8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652670043</v>
      </c>
      <c r="S65" s="5" t="s">
        <v>214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85"/>
      <c r="D66" s="72" t="str">
        <f t="shared" si="7"/>
        <v/>
      </c>
      <c r="E66" s="85"/>
      <c r="F66" s="122" t="str">
        <f t="shared" si="8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652670071</v>
      </c>
      <c r="S66" s="5" t="s">
        <v>1785</v>
      </c>
      <c r="T66" s="5">
        <v>71</v>
      </c>
      <c r="U66" s="5" t="s">
        <v>173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85"/>
      <c r="D67" s="72" t="str">
        <f t="shared" si="7"/>
        <v/>
      </c>
      <c r="E67" s="85"/>
      <c r="F67" s="122" t="str">
        <f t="shared" si="8"/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65268</v>
      </c>
      <c r="S67" s="5" t="s">
        <v>1682</v>
      </c>
      <c r="T67" s="5">
        <v>43</v>
      </c>
      <c r="U67" s="5" t="s">
        <v>96</v>
      </c>
      <c r="V67">
        <v>652</v>
      </c>
      <c r="W67">
        <v>65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85"/>
      <c r="D68" s="72" t="str">
        <f t="shared" ref="D68:D131" si="9">IFERROR(VLOOKUP(E68,$R$6:$U$114,4,FALSE),"")</f>
        <v/>
      </c>
      <c r="E68" s="85"/>
      <c r="F68" s="122" t="str">
        <f t="shared" ref="F68:F131" si="10">IFERROR(VLOOKUP(E68,$R$6:$U$114,2,FALSE),"")</f>
        <v/>
      </c>
      <c r="G68" s="117"/>
      <c r="H68" s="117"/>
      <c r="I68" s="117"/>
      <c r="J68" s="84"/>
      <c r="L68" s="75" t="str">
        <f t="shared" si="3"/>
        <v/>
      </c>
      <c r="M68" s="75" t="str">
        <f t="shared" si="4"/>
        <v/>
      </c>
      <c r="R68" s="5">
        <v>6614</v>
      </c>
      <c r="S68" s="5" t="s">
        <v>1704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85"/>
      <c r="D69" s="72" t="str">
        <f t="shared" si="9"/>
        <v/>
      </c>
      <c r="E69" s="85"/>
      <c r="F69" s="122" t="str">
        <f t="shared" si="10"/>
        <v/>
      </c>
      <c r="G69" s="117"/>
      <c r="H69" s="117"/>
      <c r="I69" s="117"/>
      <c r="J69" s="84"/>
      <c r="L69" s="75" t="str">
        <f t="shared" ref="L69:L132" si="11">LEFT(E69,2)</f>
        <v/>
      </c>
      <c r="M69" s="75" t="str">
        <f t="shared" ref="M69:M132" si="12">LEFT(E69,3)</f>
        <v/>
      </c>
      <c r="R69" s="5">
        <v>6615</v>
      </c>
      <c r="S69" s="5" t="s">
        <v>18</v>
      </c>
      <c r="T69" s="5">
        <v>31</v>
      </c>
      <c r="U69" s="5" t="s">
        <v>91</v>
      </c>
      <c r="V69">
        <v>661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85"/>
      <c r="D70" s="72" t="str">
        <f t="shared" si="9"/>
        <v/>
      </c>
      <c r="E70" s="85"/>
      <c r="F70" s="122" t="str">
        <f t="shared" si="10"/>
        <v/>
      </c>
      <c r="G70" s="117"/>
      <c r="H70" s="117"/>
      <c r="I70" s="117"/>
      <c r="J70" s="84"/>
      <c r="L70" s="75" t="str">
        <f t="shared" si="11"/>
        <v/>
      </c>
      <c r="M70" s="75" t="str">
        <f t="shared" si="12"/>
        <v/>
      </c>
      <c r="R70" s="5">
        <v>663110000</v>
      </c>
      <c r="S70" s="5" t="s">
        <v>32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85"/>
      <c r="D71" s="72" t="str">
        <f t="shared" si="9"/>
        <v/>
      </c>
      <c r="E71" s="85"/>
      <c r="F71" s="122" t="str">
        <f t="shared" si="10"/>
        <v/>
      </c>
      <c r="G71" s="117"/>
      <c r="H71" s="117"/>
      <c r="I71" s="117"/>
      <c r="J71" s="84"/>
      <c r="L71" s="75" t="str">
        <f t="shared" si="11"/>
        <v/>
      </c>
      <c r="M71" s="75" t="str">
        <f t="shared" si="12"/>
        <v/>
      </c>
      <c r="R71" s="5">
        <v>663120000</v>
      </c>
      <c r="S71" s="5" t="s">
        <v>33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85"/>
      <c r="D72" s="72" t="str">
        <f t="shared" si="9"/>
        <v/>
      </c>
      <c r="E72" s="85"/>
      <c r="F72" s="122" t="str">
        <f t="shared" si="10"/>
        <v/>
      </c>
      <c r="G72" s="117"/>
      <c r="H72" s="117"/>
      <c r="I72" s="117"/>
      <c r="J72" s="84"/>
      <c r="L72" s="75" t="str">
        <f t="shared" si="11"/>
        <v/>
      </c>
      <c r="M72" s="75" t="str">
        <f t="shared" si="12"/>
        <v/>
      </c>
      <c r="R72" s="5">
        <v>663130000</v>
      </c>
      <c r="S72" s="5" t="s">
        <v>34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85"/>
      <c r="D73" s="72" t="str">
        <f t="shared" si="9"/>
        <v/>
      </c>
      <c r="E73" s="85"/>
      <c r="F73" s="122" t="str">
        <f t="shared" si="10"/>
        <v/>
      </c>
      <c r="G73" s="117"/>
      <c r="H73" s="117"/>
      <c r="I73" s="117"/>
      <c r="J73" s="84"/>
      <c r="L73" s="75" t="str">
        <f t="shared" si="11"/>
        <v/>
      </c>
      <c r="M73" s="75" t="str">
        <f t="shared" si="12"/>
        <v/>
      </c>
      <c r="R73" s="5">
        <v>663140000</v>
      </c>
      <c r="S73" s="5" t="s">
        <v>1684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85"/>
      <c r="D74" s="72" t="str">
        <f t="shared" si="9"/>
        <v/>
      </c>
      <c r="E74" s="85"/>
      <c r="F74" s="122" t="str">
        <f t="shared" si="10"/>
        <v/>
      </c>
      <c r="G74" s="117"/>
      <c r="H74" s="117"/>
      <c r="I74" s="117"/>
      <c r="J74" s="84"/>
      <c r="L74" s="75" t="str">
        <f t="shared" si="11"/>
        <v/>
      </c>
      <c r="M74" s="75" t="str">
        <f t="shared" si="12"/>
        <v/>
      </c>
      <c r="R74" s="5">
        <v>663210000</v>
      </c>
      <c r="S74" s="5" t="s">
        <v>1685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85"/>
      <c r="D75" s="72" t="str">
        <f t="shared" si="9"/>
        <v/>
      </c>
      <c r="E75" s="85"/>
      <c r="F75" s="122" t="str">
        <f t="shared" si="10"/>
        <v/>
      </c>
      <c r="G75" s="117"/>
      <c r="H75" s="117"/>
      <c r="I75" s="117"/>
      <c r="J75" s="84"/>
      <c r="L75" s="75" t="str">
        <f t="shared" si="11"/>
        <v/>
      </c>
      <c r="M75" s="75" t="str">
        <f t="shared" si="12"/>
        <v/>
      </c>
      <c r="R75" s="5">
        <v>663220000</v>
      </c>
      <c r="S75" s="5" t="s">
        <v>35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85"/>
      <c r="D76" s="72" t="str">
        <f t="shared" si="9"/>
        <v/>
      </c>
      <c r="E76" s="85"/>
      <c r="F76" s="122" t="str">
        <f t="shared" si="10"/>
        <v/>
      </c>
      <c r="G76" s="117"/>
      <c r="H76" s="117"/>
      <c r="I76" s="117"/>
      <c r="J76" s="84"/>
      <c r="L76" s="75" t="str">
        <f t="shared" si="11"/>
        <v/>
      </c>
      <c r="M76" s="75" t="str">
        <f t="shared" si="12"/>
        <v/>
      </c>
      <c r="R76" s="5">
        <v>663230000</v>
      </c>
      <c r="S76" s="5" t="s">
        <v>36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85"/>
      <c r="D77" s="72" t="str">
        <f t="shared" si="9"/>
        <v/>
      </c>
      <c r="E77" s="85"/>
      <c r="F77" s="122" t="str">
        <f t="shared" si="10"/>
        <v/>
      </c>
      <c r="G77" s="117"/>
      <c r="H77" s="117"/>
      <c r="I77" s="117"/>
      <c r="J77" s="84"/>
      <c r="L77" s="75" t="str">
        <f t="shared" si="11"/>
        <v/>
      </c>
      <c r="M77" s="75" t="str">
        <f t="shared" si="12"/>
        <v/>
      </c>
      <c r="R77" s="5">
        <v>663240000</v>
      </c>
      <c r="S77" s="5" t="s">
        <v>1686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85"/>
      <c r="D78" s="72" t="str">
        <f t="shared" si="9"/>
        <v/>
      </c>
      <c r="E78" s="85"/>
      <c r="F78" s="122" t="str">
        <f t="shared" si="10"/>
        <v/>
      </c>
      <c r="G78" s="117"/>
      <c r="H78" s="117"/>
      <c r="I78" s="117"/>
      <c r="J78" s="84"/>
      <c r="L78" s="75" t="str">
        <f t="shared" si="11"/>
        <v/>
      </c>
      <c r="M78" s="75" t="str">
        <f t="shared" si="12"/>
        <v/>
      </c>
      <c r="R78" s="5">
        <v>663121000</v>
      </c>
      <c r="S78" s="5" t="s">
        <v>5256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85"/>
      <c r="D79" s="72" t="str">
        <f t="shared" si="9"/>
        <v/>
      </c>
      <c r="E79" s="85"/>
      <c r="F79" s="122" t="str">
        <f t="shared" si="10"/>
        <v/>
      </c>
      <c r="G79" s="117"/>
      <c r="H79" s="117"/>
      <c r="I79" s="117"/>
      <c r="J79" s="84"/>
      <c r="L79" s="75" t="str">
        <f t="shared" si="11"/>
        <v/>
      </c>
      <c r="M79" s="75" t="str">
        <f t="shared" si="12"/>
        <v/>
      </c>
      <c r="R79" s="5">
        <v>663131000</v>
      </c>
      <c r="S79" s="5" t="s">
        <v>5257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85"/>
      <c r="D80" s="72" t="str">
        <f t="shared" si="9"/>
        <v/>
      </c>
      <c r="E80" s="85"/>
      <c r="F80" s="122" t="str">
        <f t="shared" si="10"/>
        <v/>
      </c>
      <c r="G80" s="117"/>
      <c r="H80" s="117"/>
      <c r="I80" s="117"/>
      <c r="J80" s="84"/>
      <c r="L80" s="75" t="str">
        <f t="shared" si="11"/>
        <v/>
      </c>
      <c r="M80" s="75" t="str">
        <f t="shared" si="12"/>
        <v/>
      </c>
      <c r="R80" s="5">
        <v>663221000</v>
      </c>
      <c r="S80" s="5" t="s">
        <v>5258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85"/>
      <c r="D81" s="72" t="str">
        <f t="shared" si="9"/>
        <v/>
      </c>
      <c r="E81" s="85"/>
      <c r="F81" s="122" t="str">
        <f t="shared" si="10"/>
        <v/>
      </c>
      <c r="G81" s="117"/>
      <c r="H81" s="117"/>
      <c r="I81" s="117"/>
      <c r="J81" s="84"/>
      <c r="L81" s="75" t="str">
        <f t="shared" si="11"/>
        <v/>
      </c>
      <c r="M81" s="75" t="str">
        <f t="shared" si="12"/>
        <v/>
      </c>
      <c r="R81" s="5">
        <v>663231000</v>
      </c>
      <c r="S81" s="5" t="s">
        <v>5259</v>
      </c>
      <c r="T81" s="5">
        <v>63</v>
      </c>
      <c r="U81" s="5" t="s">
        <v>5260</v>
      </c>
      <c r="V81">
        <v>663</v>
      </c>
      <c r="W81">
        <v>66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85"/>
      <c r="D82" s="72" t="str">
        <f t="shared" si="9"/>
        <v/>
      </c>
      <c r="E82" s="85"/>
      <c r="F82" s="122" t="str">
        <f t="shared" si="10"/>
        <v/>
      </c>
      <c r="G82" s="117"/>
      <c r="H82" s="117"/>
      <c r="I82" s="117"/>
      <c r="J82" s="84"/>
      <c r="L82" s="75" t="str">
        <f t="shared" si="11"/>
        <v/>
      </c>
      <c r="M82" s="75" t="str">
        <f t="shared" si="12"/>
        <v/>
      </c>
      <c r="R82" s="5">
        <v>681910043</v>
      </c>
      <c r="S82" s="5" t="s">
        <v>215</v>
      </c>
      <c r="T82" s="5">
        <v>43</v>
      </c>
      <c r="U82" s="5" t="s">
        <v>96</v>
      </c>
      <c r="V82">
        <v>681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85"/>
      <c r="D83" s="72" t="str">
        <f t="shared" si="9"/>
        <v/>
      </c>
      <c r="E83" s="85"/>
      <c r="F83" s="122" t="str">
        <f t="shared" si="10"/>
        <v/>
      </c>
      <c r="G83" s="117"/>
      <c r="H83" s="117"/>
      <c r="I83" s="117"/>
      <c r="J83" s="84"/>
      <c r="L83" s="75" t="str">
        <f t="shared" si="11"/>
        <v/>
      </c>
      <c r="M83" s="75" t="str">
        <f t="shared" si="12"/>
        <v/>
      </c>
      <c r="R83" s="5">
        <v>683110031</v>
      </c>
      <c r="S83" s="5" t="s">
        <v>1687</v>
      </c>
      <c r="T83" s="5">
        <v>31</v>
      </c>
      <c r="U83" s="5" t="s">
        <v>91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85"/>
      <c r="D84" s="72" t="str">
        <f t="shared" si="9"/>
        <v/>
      </c>
      <c r="E84" s="85"/>
      <c r="F84" s="122" t="str">
        <f t="shared" si="10"/>
        <v/>
      </c>
      <c r="G84" s="117"/>
      <c r="H84" s="117"/>
      <c r="I84" s="117"/>
      <c r="J84" s="84"/>
      <c r="L84" s="75" t="str">
        <f t="shared" si="11"/>
        <v/>
      </c>
      <c r="M84" s="75" t="str">
        <f t="shared" si="12"/>
        <v/>
      </c>
      <c r="R84" s="5">
        <v>683110043</v>
      </c>
      <c r="S84" s="5" t="s">
        <v>216</v>
      </c>
      <c r="T84" s="5">
        <v>43</v>
      </c>
      <c r="U84" s="5" t="s">
        <v>96</v>
      </c>
      <c r="V84">
        <v>683</v>
      </c>
      <c r="W84">
        <v>68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85"/>
      <c r="D85" s="72" t="str">
        <f t="shared" si="9"/>
        <v/>
      </c>
      <c r="E85" s="85"/>
      <c r="F85" s="122" t="str">
        <f t="shared" si="10"/>
        <v/>
      </c>
      <c r="G85" s="117"/>
      <c r="H85" s="117"/>
      <c r="I85" s="117"/>
      <c r="J85" s="84"/>
      <c r="L85" s="75" t="str">
        <f t="shared" si="11"/>
        <v/>
      </c>
      <c r="M85" s="75" t="str">
        <f t="shared" si="12"/>
        <v/>
      </c>
      <c r="R85" s="5">
        <v>711110071</v>
      </c>
      <c r="S85" s="5" t="s">
        <v>1688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85"/>
      <c r="D86" s="72" t="str">
        <f t="shared" si="9"/>
        <v/>
      </c>
      <c r="E86" s="85"/>
      <c r="F86" s="122" t="str">
        <f t="shared" si="10"/>
        <v/>
      </c>
      <c r="G86" s="117"/>
      <c r="H86" s="117"/>
      <c r="I86" s="117"/>
      <c r="J86" s="84"/>
      <c r="L86" s="75" t="str">
        <f t="shared" si="11"/>
        <v/>
      </c>
      <c r="M86" s="75" t="str">
        <f t="shared" si="12"/>
        <v/>
      </c>
      <c r="R86" s="5">
        <v>711120071</v>
      </c>
      <c r="S86" s="5" t="s">
        <v>1690</v>
      </c>
      <c r="T86" s="5">
        <v>71</v>
      </c>
      <c r="U86" s="5" t="s">
        <v>1689</v>
      </c>
      <c r="V86">
        <v>711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85"/>
      <c r="D87" s="72" t="str">
        <f t="shared" si="9"/>
        <v/>
      </c>
      <c r="E87" s="85"/>
      <c r="F87" s="122" t="str">
        <f t="shared" si="10"/>
        <v/>
      </c>
      <c r="G87" s="117"/>
      <c r="H87" s="117"/>
      <c r="I87" s="117"/>
      <c r="J87" s="84"/>
      <c r="L87" s="75" t="str">
        <f t="shared" si="11"/>
        <v/>
      </c>
      <c r="M87" s="75" t="str">
        <f t="shared" si="12"/>
        <v/>
      </c>
      <c r="R87" s="5">
        <v>712410071</v>
      </c>
      <c r="S87" s="5" t="s">
        <v>218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85"/>
      <c r="D88" s="72" t="str">
        <f t="shared" si="9"/>
        <v/>
      </c>
      <c r="E88" s="85"/>
      <c r="F88" s="122" t="str">
        <f t="shared" si="10"/>
        <v/>
      </c>
      <c r="G88" s="117"/>
      <c r="H88" s="117"/>
      <c r="I88" s="117"/>
      <c r="J88" s="84"/>
      <c r="L88" s="75" t="str">
        <f t="shared" si="11"/>
        <v/>
      </c>
      <c r="M88" s="75" t="str">
        <f t="shared" si="12"/>
        <v/>
      </c>
      <c r="R88" s="5">
        <v>712490071</v>
      </c>
      <c r="S88" s="5" t="s">
        <v>219</v>
      </c>
      <c r="T88" s="5">
        <v>71</v>
      </c>
      <c r="U88" s="5" t="s">
        <v>1689</v>
      </c>
      <c r="V88">
        <v>712</v>
      </c>
      <c r="W88">
        <v>71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85"/>
      <c r="D89" s="72" t="str">
        <f t="shared" si="9"/>
        <v/>
      </c>
      <c r="E89" s="85"/>
      <c r="F89" s="122" t="str">
        <f t="shared" si="10"/>
        <v/>
      </c>
      <c r="G89" s="117"/>
      <c r="H89" s="117"/>
      <c r="I89" s="117"/>
      <c r="J89" s="84"/>
      <c r="L89" s="75" t="str">
        <f t="shared" si="11"/>
        <v/>
      </c>
      <c r="M89" s="75" t="str">
        <f t="shared" si="12"/>
        <v/>
      </c>
      <c r="R89" s="5">
        <v>721110071</v>
      </c>
      <c r="S89" s="5" t="s">
        <v>220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85"/>
      <c r="D90" s="72" t="str">
        <f t="shared" si="9"/>
        <v/>
      </c>
      <c r="E90" s="85"/>
      <c r="F90" s="122" t="str">
        <f t="shared" si="10"/>
        <v/>
      </c>
      <c r="G90" s="117"/>
      <c r="H90" s="117"/>
      <c r="I90" s="117"/>
      <c r="J90" s="84"/>
      <c r="L90" s="75" t="str">
        <f t="shared" si="11"/>
        <v/>
      </c>
      <c r="M90" s="75" t="str">
        <f t="shared" si="12"/>
        <v/>
      </c>
      <c r="R90" s="5">
        <v>721190071</v>
      </c>
      <c r="S90" s="5" t="s">
        <v>221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85"/>
      <c r="D91" s="72" t="str">
        <f t="shared" si="9"/>
        <v/>
      </c>
      <c r="E91" s="85"/>
      <c r="F91" s="122" t="str">
        <f t="shared" si="10"/>
        <v/>
      </c>
      <c r="G91" s="117"/>
      <c r="H91" s="117"/>
      <c r="I91" s="117"/>
      <c r="J91" s="84"/>
      <c r="L91" s="75" t="str">
        <f t="shared" si="11"/>
        <v/>
      </c>
      <c r="M91" s="75" t="str">
        <f t="shared" si="12"/>
        <v/>
      </c>
      <c r="R91" s="5">
        <v>721230071</v>
      </c>
      <c r="S91" s="5" t="s">
        <v>222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85"/>
      <c r="D92" s="72" t="str">
        <f t="shared" si="9"/>
        <v/>
      </c>
      <c r="E92" s="85"/>
      <c r="F92" s="122" t="str">
        <f t="shared" si="10"/>
        <v/>
      </c>
      <c r="G92" s="117"/>
      <c r="H92" s="117"/>
      <c r="I92" s="117"/>
      <c r="J92" s="84"/>
      <c r="L92" s="75" t="str">
        <f t="shared" si="11"/>
        <v/>
      </c>
      <c r="M92" s="75" t="str">
        <f t="shared" si="12"/>
        <v/>
      </c>
      <c r="R92" s="5">
        <v>721290071</v>
      </c>
      <c r="S92" s="5" t="s">
        <v>223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85"/>
      <c r="D93" s="72" t="str">
        <f t="shared" si="9"/>
        <v/>
      </c>
      <c r="E93" s="85"/>
      <c r="F93" s="122" t="str">
        <f t="shared" si="10"/>
        <v/>
      </c>
      <c r="G93" s="117"/>
      <c r="H93" s="117"/>
      <c r="I93" s="117"/>
      <c r="J93" s="84"/>
      <c r="L93" s="75" t="str">
        <f t="shared" si="11"/>
        <v/>
      </c>
      <c r="M93" s="75" t="str">
        <f t="shared" si="12"/>
        <v/>
      </c>
      <c r="R93" s="5">
        <v>722110071</v>
      </c>
      <c r="S93" s="5" t="s">
        <v>224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85"/>
      <c r="D94" s="72" t="str">
        <f t="shared" si="9"/>
        <v/>
      </c>
      <c r="E94" s="85"/>
      <c r="F94" s="122" t="str">
        <f t="shared" si="10"/>
        <v/>
      </c>
      <c r="G94" s="117"/>
      <c r="H94" s="117"/>
      <c r="I94" s="117"/>
      <c r="J94" s="84"/>
      <c r="L94" s="75" t="str">
        <f t="shared" si="11"/>
        <v/>
      </c>
      <c r="M94" s="75" t="str">
        <f t="shared" si="12"/>
        <v/>
      </c>
      <c r="R94" s="5">
        <v>722120071</v>
      </c>
      <c r="S94" s="5" t="s">
        <v>1691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85"/>
      <c r="D95" s="72" t="str">
        <f t="shared" si="9"/>
        <v/>
      </c>
      <c r="E95" s="85"/>
      <c r="F95" s="122" t="str">
        <f t="shared" si="10"/>
        <v/>
      </c>
      <c r="G95" s="117"/>
      <c r="H95" s="117"/>
      <c r="I95" s="117"/>
      <c r="J95" s="84"/>
      <c r="L95" s="75" t="str">
        <f t="shared" si="11"/>
        <v/>
      </c>
      <c r="M95" s="75" t="str">
        <f t="shared" si="12"/>
        <v/>
      </c>
      <c r="R95" s="5">
        <v>722190071</v>
      </c>
      <c r="S95" s="5" t="s">
        <v>225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85"/>
      <c r="D96" s="72" t="str">
        <f t="shared" si="9"/>
        <v/>
      </c>
      <c r="E96" s="85"/>
      <c r="F96" s="122" t="str">
        <f t="shared" si="10"/>
        <v/>
      </c>
      <c r="G96" s="117"/>
      <c r="H96" s="117"/>
      <c r="I96" s="117"/>
      <c r="J96" s="84"/>
      <c r="L96" s="75" t="str">
        <f t="shared" si="11"/>
        <v/>
      </c>
      <c r="M96" s="75" t="str">
        <f t="shared" si="12"/>
        <v/>
      </c>
      <c r="R96" s="5">
        <v>722620071</v>
      </c>
      <c r="S96" s="5" t="s">
        <v>226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85"/>
      <c r="D97" s="72" t="str">
        <f t="shared" si="9"/>
        <v/>
      </c>
      <c r="E97" s="85"/>
      <c r="F97" s="122" t="str">
        <f t="shared" si="10"/>
        <v/>
      </c>
      <c r="G97" s="117"/>
      <c r="H97" s="117"/>
      <c r="I97" s="117"/>
      <c r="J97" s="84"/>
      <c r="L97" s="75" t="str">
        <f t="shared" si="11"/>
        <v/>
      </c>
      <c r="M97" s="75" t="str">
        <f t="shared" si="12"/>
        <v/>
      </c>
      <c r="R97" s="5">
        <v>722720071</v>
      </c>
      <c r="S97" s="5" t="s">
        <v>1786</v>
      </c>
      <c r="T97" s="5">
        <v>71</v>
      </c>
      <c r="U97" s="5" t="s">
        <v>173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85"/>
      <c r="D98" s="72" t="str">
        <f t="shared" si="9"/>
        <v/>
      </c>
      <c r="E98" s="85"/>
      <c r="F98" s="122" t="str">
        <f t="shared" si="10"/>
        <v/>
      </c>
      <c r="G98" s="117"/>
      <c r="H98" s="117"/>
      <c r="I98" s="117"/>
      <c r="J98" s="84"/>
      <c r="L98" s="75" t="str">
        <f t="shared" si="11"/>
        <v/>
      </c>
      <c r="M98" s="75" t="str">
        <f t="shared" si="12"/>
        <v/>
      </c>
      <c r="R98" s="5">
        <v>722730071</v>
      </c>
      <c r="S98" s="5" t="s">
        <v>227</v>
      </c>
      <c r="T98" s="5">
        <v>71</v>
      </c>
      <c r="U98" s="5" t="s">
        <v>1689</v>
      </c>
      <c r="V98">
        <v>722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85"/>
      <c r="D99" s="72" t="str">
        <f t="shared" si="9"/>
        <v/>
      </c>
      <c r="E99" s="85"/>
      <c r="F99" s="122" t="str">
        <f t="shared" si="10"/>
        <v/>
      </c>
      <c r="G99" s="117"/>
      <c r="H99" s="117"/>
      <c r="I99" s="117"/>
      <c r="J99" s="84"/>
      <c r="L99" s="75" t="str">
        <f t="shared" si="11"/>
        <v/>
      </c>
      <c r="M99" s="75" t="str">
        <f t="shared" si="12"/>
        <v/>
      </c>
      <c r="R99" s="5">
        <v>723110071</v>
      </c>
      <c r="S99" s="5" t="s">
        <v>228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85"/>
      <c r="D100" s="72" t="str">
        <f t="shared" si="9"/>
        <v/>
      </c>
      <c r="E100" s="85"/>
      <c r="F100" s="122" t="str">
        <f t="shared" si="10"/>
        <v/>
      </c>
      <c r="G100" s="117"/>
      <c r="H100" s="117"/>
      <c r="I100" s="117"/>
      <c r="J100" s="84"/>
      <c r="L100" s="75" t="str">
        <f t="shared" si="11"/>
        <v/>
      </c>
      <c r="M100" s="75" t="str">
        <f t="shared" si="12"/>
        <v/>
      </c>
      <c r="R100" s="5">
        <v>723130071</v>
      </c>
      <c r="S100" s="5" t="s">
        <v>1692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85"/>
      <c r="D101" s="72" t="str">
        <f t="shared" si="9"/>
        <v/>
      </c>
      <c r="E101" s="85"/>
      <c r="F101" s="122" t="str">
        <f t="shared" si="10"/>
        <v/>
      </c>
      <c r="G101" s="117"/>
      <c r="H101" s="117"/>
      <c r="I101" s="117"/>
      <c r="J101" s="84"/>
      <c r="L101" s="75" t="str">
        <f t="shared" si="11"/>
        <v/>
      </c>
      <c r="M101" s="75" t="str">
        <f t="shared" si="12"/>
        <v/>
      </c>
      <c r="R101" s="5">
        <v>723140071</v>
      </c>
      <c r="S101" s="5" t="s">
        <v>1693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85"/>
      <c r="D102" s="72" t="str">
        <f t="shared" si="9"/>
        <v/>
      </c>
      <c r="E102" s="85"/>
      <c r="F102" s="122" t="str">
        <f t="shared" si="10"/>
        <v/>
      </c>
      <c r="G102" s="117"/>
      <c r="H102" s="117"/>
      <c r="I102" s="117"/>
      <c r="J102" s="84"/>
      <c r="L102" s="75" t="str">
        <f t="shared" si="11"/>
        <v/>
      </c>
      <c r="M102" s="75" t="str">
        <f t="shared" si="12"/>
        <v/>
      </c>
      <c r="R102" s="5">
        <v>723150071</v>
      </c>
      <c r="S102" s="5" t="s">
        <v>1694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85"/>
      <c r="D103" s="72" t="str">
        <f t="shared" si="9"/>
        <v/>
      </c>
      <c r="E103" s="85"/>
      <c r="F103" s="122" t="str">
        <f t="shared" si="10"/>
        <v/>
      </c>
      <c r="G103" s="117"/>
      <c r="H103" s="117"/>
      <c r="I103" s="117"/>
      <c r="J103" s="84"/>
      <c r="L103" s="75" t="str">
        <f t="shared" si="11"/>
        <v/>
      </c>
      <c r="M103" s="75" t="str">
        <f t="shared" si="12"/>
        <v/>
      </c>
      <c r="R103" s="5">
        <v>723160071</v>
      </c>
      <c r="S103" s="5" t="s">
        <v>1695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85"/>
      <c r="D104" s="72" t="str">
        <f t="shared" si="9"/>
        <v/>
      </c>
      <c r="E104" s="85"/>
      <c r="F104" s="122" t="str">
        <f t="shared" si="10"/>
        <v/>
      </c>
      <c r="G104" s="117"/>
      <c r="H104" s="117"/>
      <c r="I104" s="117"/>
      <c r="J104" s="84"/>
      <c r="L104" s="75" t="str">
        <f t="shared" si="11"/>
        <v/>
      </c>
      <c r="M104" s="75" t="str">
        <f t="shared" si="12"/>
        <v/>
      </c>
      <c r="R104" s="5">
        <v>723190071</v>
      </c>
      <c r="S104" s="5" t="s">
        <v>1787</v>
      </c>
      <c r="T104" s="5">
        <v>71</v>
      </c>
      <c r="U104" s="5" t="s">
        <v>173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85"/>
      <c r="D105" s="72" t="str">
        <f t="shared" si="9"/>
        <v/>
      </c>
      <c r="E105" s="85"/>
      <c r="F105" s="122" t="str">
        <f t="shared" si="10"/>
        <v/>
      </c>
      <c r="G105" s="117"/>
      <c r="H105" s="117"/>
      <c r="I105" s="117"/>
      <c r="J105" s="84"/>
      <c r="L105" s="75" t="str">
        <f t="shared" si="11"/>
        <v/>
      </c>
      <c r="M105" s="75" t="str">
        <f t="shared" si="12"/>
        <v/>
      </c>
      <c r="R105" s="5">
        <v>723310071</v>
      </c>
      <c r="S105" s="5" t="s">
        <v>1696</v>
      </c>
      <c r="T105" s="5">
        <v>71</v>
      </c>
      <c r="U105" s="5" t="s">
        <v>1689</v>
      </c>
      <c r="V105">
        <v>723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85"/>
      <c r="D106" s="72" t="str">
        <f t="shared" si="9"/>
        <v/>
      </c>
      <c r="E106" s="85"/>
      <c r="F106" s="122" t="str">
        <f t="shared" si="10"/>
        <v/>
      </c>
      <c r="G106" s="117"/>
      <c r="H106" s="117"/>
      <c r="I106" s="117"/>
      <c r="J106" s="84"/>
      <c r="L106" s="75" t="str">
        <f t="shared" si="11"/>
        <v/>
      </c>
      <c r="M106" s="75" t="str">
        <f t="shared" si="12"/>
        <v/>
      </c>
      <c r="R106" s="5">
        <v>725210071</v>
      </c>
      <c r="S106" s="5" t="s">
        <v>229</v>
      </c>
      <c r="T106" s="5">
        <v>71</v>
      </c>
      <c r="U106" s="5" t="s">
        <v>1689</v>
      </c>
      <c r="V106">
        <v>725</v>
      </c>
      <c r="W106">
        <v>72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85"/>
      <c r="D107" s="72" t="str">
        <f t="shared" si="9"/>
        <v/>
      </c>
      <c r="E107" s="85"/>
      <c r="F107" s="122" t="str">
        <f t="shared" si="10"/>
        <v/>
      </c>
      <c r="G107" s="117"/>
      <c r="H107" s="117"/>
      <c r="I107" s="117"/>
      <c r="J107" s="84"/>
      <c r="L107" s="75" t="str">
        <f t="shared" si="11"/>
        <v/>
      </c>
      <c r="M107" s="75" t="str">
        <f t="shared" si="12"/>
        <v/>
      </c>
      <c r="R107" s="5">
        <v>818110043</v>
      </c>
      <c r="S107" s="5" t="s">
        <v>1788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ref="C108:C131" si="13">IFERROR(VLOOKUP(E108,$R$6:$U$114,3,FALSE),"")</f>
        <v/>
      </c>
      <c r="D108" s="72" t="str">
        <f t="shared" si="9"/>
        <v/>
      </c>
      <c r="E108" s="84"/>
      <c r="F108" s="122" t="str">
        <f t="shared" si="10"/>
        <v/>
      </c>
      <c r="G108" s="117"/>
      <c r="H108" s="117"/>
      <c r="I108" s="117"/>
      <c r="J108" s="84"/>
      <c r="L108" s="75" t="str">
        <f t="shared" si="11"/>
        <v/>
      </c>
      <c r="M108" s="75" t="str">
        <f t="shared" si="12"/>
        <v/>
      </c>
      <c r="R108" s="5">
        <v>818120043</v>
      </c>
      <c r="S108" s="5" t="s">
        <v>1227</v>
      </c>
      <c r="T108" s="5">
        <v>43</v>
      </c>
      <c r="U108" s="5" t="s">
        <v>96</v>
      </c>
      <c r="V108">
        <v>818</v>
      </c>
      <c r="W108">
        <v>81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3"/>
        <v/>
      </c>
      <c r="D109" s="72" t="str">
        <f t="shared" si="9"/>
        <v/>
      </c>
      <c r="E109" s="84"/>
      <c r="F109" s="122" t="str">
        <f t="shared" si="10"/>
        <v/>
      </c>
      <c r="G109" s="117"/>
      <c r="H109" s="117"/>
      <c r="I109" s="117"/>
      <c r="J109" s="84"/>
      <c r="L109" s="75" t="str">
        <f t="shared" si="11"/>
        <v/>
      </c>
      <c r="M109" s="75" t="str">
        <f t="shared" si="12"/>
        <v/>
      </c>
      <c r="R109" s="5">
        <v>832120043</v>
      </c>
      <c r="S109" s="5" t="s">
        <v>1228</v>
      </c>
      <c r="T109" s="5">
        <v>43</v>
      </c>
      <c r="U109" s="5" t="s">
        <v>96</v>
      </c>
      <c r="V109">
        <v>832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3"/>
        <v/>
      </c>
      <c r="D110" s="72" t="str">
        <f t="shared" si="9"/>
        <v/>
      </c>
      <c r="E110" s="84"/>
      <c r="F110" s="122" t="str">
        <f t="shared" si="10"/>
        <v/>
      </c>
      <c r="G110" s="117"/>
      <c r="H110" s="117"/>
      <c r="I110" s="117"/>
      <c r="J110" s="84"/>
      <c r="L110" s="75" t="str">
        <f t="shared" si="11"/>
        <v/>
      </c>
      <c r="M110" s="75" t="str">
        <f t="shared" si="12"/>
        <v/>
      </c>
      <c r="R110" s="5">
        <v>833130043</v>
      </c>
      <c r="S110" s="5" t="s">
        <v>1698</v>
      </c>
      <c r="T110" s="5">
        <v>43</v>
      </c>
      <c r="U110" s="5" t="s">
        <v>96</v>
      </c>
      <c r="V110">
        <v>833</v>
      </c>
      <c r="W110">
        <v>83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3"/>
        <v/>
      </c>
      <c r="D111" s="72" t="str">
        <f t="shared" si="9"/>
        <v/>
      </c>
      <c r="E111" s="84"/>
      <c r="F111" s="122" t="str">
        <f t="shared" si="10"/>
        <v/>
      </c>
      <c r="G111" s="117"/>
      <c r="H111" s="117"/>
      <c r="I111" s="117"/>
      <c r="J111" s="84"/>
      <c r="L111" s="75" t="str">
        <f t="shared" si="11"/>
        <v/>
      </c>
      <c r="M111" s="75" t="str">
        <f t="shared" si="12"/>
        <v/>
      </c>
      <c r="R111" s="5">
        <v>841320000</v>
      </c>
      <c r="S111" s="5" t="s">
        <v>1784</v>
      </c>
      <c r="T111" s="5">
        <v>81</v>
      </c>
      <c r="U111" s="5" t="s">
        <v>1697</v>
      </c>
      <c r="V111">
        <v>841</v>
      </c>
      <c r="W111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3"/>
        <v/>
      </c>
      <c r="D112" s="72" t="str">
        <f t="shared" si="9"/>
        <v/>
      </c>
      <c r="E112" s="84"/>
      <c r="F112" s="122" t="str">
        <f t="shared" si="10"/>
        <v/>
      </c>
      <c r="G112" s="117"/>
      <c r="H112" s="117"/>
      <c r="I112" s="117"/>
      <c r="J112" s="84"/>
      <c r="L112" s="75" t="str">
        <f t="shared" si="11"/>
        <v/>
      </c>
      <c r="M112" s="75" t="str">
        <f t="shared" si="12"/>
        <v/>
      </c>
      <c r="R112" s="221">
        <v>841320150</v>
      </c>
      <c r="S112" s="221" t="s">
        <v>3525</v>
      </c>
      <c r="T112" s="221">
        <v>81</v>
      </c>
      <c r="U112" s="221" t="s">
        <v>1697</v>
      </c>
      <c r="V112" s="142">
        <v>841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3"/>
        <v/>
      </c>
      <c r="D113" s="72" t="str">
        <f t="shared" si="9"/>
        <v/>
      </c>
      <c r="E113" s="84"/>
      <c r="F113" s="122" t="str">
        <f t="shared" si="10"/>
        <v/>
      </c>
      <c r="G113" s="117"/>
      <c r="H113" s="117"/>
      <c r="I113" s="117"/>
      <c r="J113" s="84"/>
      <c r="L113" s="75" t="str">
        <f t="shared" si="11"/>
        <v/>
      </c>
      <c r="M113" s="75" t="str">
        <f t="shared" si="12"/>
        <v/>
      </c>
      <c r="R113" s="221">
        <v>844320000</v>
      </c>
      <c r="S113" s="221" t="s">
        <v>5255</v>
      </c>
      <c r="T113" s="221">
        <v>81</v>
      </c>
      <c r="U113" s="221" t="s">
        <v>1697</v>
      </c>
      <c r="V113" s="142">
        <v>844</v>
      </c>
      <c r="W113" s="142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3"/>
        <v/>
      </c>
      <c r="D114" s="72" t="str">
        <f t="shared" si="9"/>
        <v/>
      </c>
      <c r="E114" s="84"/>
      <c r="F114" s="122" t="str">
        <f t="shared" si="10"/>
        <v/>
      </c>
      <c r="G114" s="117"/>
      <c r="H114" s="117"/>
      <c r="I114" s="117"/>
      <c r="J114" s="84"/>
      <c r="L114" s="75" t="str">
        <f t="shared" si="11"/>
        <v/>
      </c>
      <c r="M114" s="75" t="str">
        <f t="shared" si="12"/>
        <v/>
      </c>
      <c r="R114" s="5">
        <v>842220081</v>
      </c>
      <c r="S114" s="5" t="s">
        <v>1699</v>
      </c>
      <c r="T114" s="5">
        <v>81</v>
      </c>
      <c r="U114" s="5" t="s">
        <v>1697</v>
      </c>
      <c r="V114">
        <v>842</v>
      </c>
      <c r="W114">
        <v>84</v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3"/>
        <v/>
      </c>
      <c r="D115" s="72" t="str">
        <f t="shared" si="9"/>
        <v/>
      </c>
      <c r="E115" s="84"/>
      <c r="F115" s="122" t="str">
        <f t="shared" si="10"/>
        <v/>
      </c>
      <c r="G115" s="117"/>
      <c r="H115" s="117"/>
      <c r="I115" s="117"/>
      <c r="J115" s="84"/>
      <c r="L115" s="75" t="str">
        <f t="shared" si="11"/>
        <v/>
      </c>
      <c r="M115" s="75" t="str">
        <f t="shared" si="12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3"/>
        <v/>
      </c>
      <c r="D116" s="72" t="str">
        <f t="shared" si="9"/>
        <v/>
      </c>
      <c r="E116" s="84"/>
      <c r="F116" s="122" t="str">
        <f t="shared" si="10"/>
        <v/>
      </c>
      <c r="G116" s="117"/>
      <c r="H116" s="117"/>
      <c r="I116" s="117"/>
      <c r="J116" s="84"/>
      <c r="L116" s="75" t="str">
        <f t="shared" si="11"/>
        <v/>
      </c>
      <c r="M116" s="75" t="str">
        <f t="shared" si="12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3"/>
        <v/>
      </c>
      <c r="D117" s="72" t="str">
        <f t="shared" si="9"/>
        <v/>
      </c>
      <c r="E117" s="84"/>
      <c r="F117" s="122" t="str">
        <f t="shared" si="10"/>
        <v/>
      </c>
      <c r="G117" s="117"/>
      <c r="H117" s="117"/>
      <c r="I117" s="117"/>
      <c r="J117" s="84"/>
      <c r="L117" s="75" t="str">
        <f t="shared" si="11"/>
        <v/>
      </c>
      <c r="M117" s="75" t="str">
        <f t="shared" si="12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3"/>
        <v/>
      </c>
      <c r="D118" s="72" t="str">
        <f t="shared" si="9"/>
        <v/>
      </c>
      <c r="E118" s="84"/>
      <c r="F118" s="122" t="str">
        <f t="shared" si="10"/>
        <v/>
      </c>
      <c r="G118" s="117"/>
      <c r="H118" s="117"/>
      <c r="I118" s="117"/>
      <c r="J118" s="84"/>
      <c r="L118" s="75" t="str">
        <f t="shared" si="11"/>
        <v/>
      </c>
      <c r="M118" s="75" t="str">
        <f t="shared" si="12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3"/>
        <v/>
      </c>
      <c r="D119" s="72" t="str">
        <f t="shared" si="9"/>
        <v/>
      </c>
      <c r="E119" s="84"/>
      <c r="F119" s="122" t="str">
        <f t="shared" si="10"/>
        <v/>
      </c>
      <c r="G119" s="117"/>
      <c r="H119" s="117"/>
      <c r="I119" s="117"/>
      <c r="J119" s="84"/>
      <c r="L119" s="75" t="str">
        <f t="shared" si="11"/>
        <v/>
      </c>
      <c r="M119" s="75" t="str">
        <f t="shared" si="12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3"/>
        <v/>
      </c>
      <c r="D120" s="72" t="str">
        <f t="shared" si="9"/>
        <v/>
      </c>
      <c r="E120" s="84"/>
      <c r="F120" s="122" t="str">
        <f t="shared" si="10"/>
        <v/>
      </c>
      <c r="G120" s="117"/>
      <c r="H120" s="117"/>
      <c r="I120" s="117"/>
      <c r="J120" s="84"/>
      <c r="L120" s="75" t="str">
        <f t="shared" si="11"/>
        <v/>
      </c>
      <c r="M120" s="75" t="str">
        <f t="shared" si="12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3"/>
        <v/>
      </c>
      <c r="D121" s="72" t="str">
        <f t="shared" si="9"/>
        <v/>
      </c>
      <c r="E121" s="84"/>
      <c r="F121" s="122" t="str">
        <f t="shared" si="10"/>
        <v/>
      </c>
      <c r="G121" s="117"/>
      <c r="H121" s="117"/>
      <c r="I121" s="117"/>
      <c r="J121" s="84"/>
      <c r="L121" s="75" t="str">
        <f t="shared" si="11"/>
        <v/>
      </c>
      <c r="M121" s="75" t="str">
        <f t="shared" si="12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3"/>
        <v/>
      </c>
      <c r="D122" s="72" t="str">
        <f t="shared" si="9"/>
        <v/>
      </c>
      <c r="E122" s="84"/>
      <c r="F122" s="122" t="str">
        <f t="shared" si="10"/>
        <v/>
      </c>
      <c r="G122" s="117"/>
      <c r="H122" s="117"/>
      <c r="I122" s="117"/>
      <c r="J122" s="84"/>
      <c r="L122" s="75" t="str">
        <f t="shared" si="11"/>
        <v/>
      </c>
      <c r="M122" s="75" t="str">
        <f t="shared" si="12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3"/>
        <v/>
      </c>
      <c r="D123" s="72" t="str">
        <f t="shared" si="9"/>
        <v/>
      </c>
      <c r="E123" s="84"/>
      <c r="F123" s="122" t="str">
        <f t="shared" si="10"/>
        <v/>
      </c>
      <c r="G123" s="117"/>
      <c r="H123" s="117"/>
      <c r="I123" s="117"/>
      <c r="J123" s="84"/>
      <c r="L123" s="75" t="str">
        <f t="shared" si="11"/>
        <v/>
      </c>
      <c r="M123" s="75" t="str">
        <f t="shared" si="12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3"/>
        <v/>
      </c>
      <c r="D124" s="72" t="str">
        <f t="shared" si="9"/>
        <v/>
      </c>
      <c r="E124" s="84"/>
      <c r="F124" s="122" t="str">
        <f t="shared" si="10"/>
        <v/>
      </c>
      <c r="G124" s="117"/>
      <c r="H124" s="117"/>
      <c r="I124" s="117"/>
      <c r="J124" s="84"/>
      <c r="L124" s="75" t="str">
        <f t="shared" si="11"/>
        <v/>
      </c>
      <c r="M124" s="75" t="str">
        <f t="shared" si="12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3"/>
        <v/>
      </c>
      <c r="D125" s="72" t="str">
        <f t="shared" si="9"/>
        <v/>
      </c>
      <c r="E125" s="84"/>
      <c r="F125" s="122" t="str">
        <f t="shared" si="10"/>
        <v/>
      </c>
      <c r="G125" s="117"/>
      <c r="H125" s="117"/>
      <c r="I125" s="117"/>
      <c r="J125" s="84"/>
      <c r="L125" s="75" t="str">
        <f t="shared" si="11"/>
        <v/>
      </c>
      <c r="M125" s="75" t="str">
        <f t="shared" si="12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3"/>
        <v/>
      </c>
      <c r="D126" s="72" t="str">
        <f t="shared" si="9"/>
        <v/>
      </c>
      <c r="E126" s="84"/>
      <c r="F126" s="122" t="str">
        <f t="shared" si="10"/>
        <v/>
      </c>
      <c r="G126" s="117"/>
      <c r="H126" s="117"/>
      <c r="I126" s="117"/>
      <c r="J126" s="84"/>
      <c r="L126" s="75" t="str">
        <f t="shared" si="11"/>
        <v/>
      </c>
      <c r="M126" s="75" t="str">
        <f t="shared" si="12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3"/>
        <v/>
      </c>
      <c r="D127" s="72" t="str">
        <f t="shared" si="9"/>
        <v/>
      </c>
      <c r="E127" s="84"/>
      <c r="F127" s="122" t="str">
        <f t="shared" si="10"/>
        <v/>
      </c>
      <c r="G127" s="117"/>
      <c r="H127" s="117"/>
      <c r="I127" s="117"/>
      <c r="J127" s="84"/>
      <c r="L127" s="75" t="str">
        <f t="shared" si="11"/>
        <v/>
      </c>
      <c r="M127" s="75" t="str">
        <f t="shared" si="12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3"/>
        <v/>
      </c>
      <c r="D128" s="72" t="str">
        <f t="shared" si="9"/>
        <v/>
      </c>
      <c r="E128" s="84"/>
      <c r="F128" s="122" t="str">
        <f t="shared" si="10"/>
        <v/>
      </c>
      <c r="G128" s="117"/>
      <c r="H128" s="117"/>
      <c r="I128" s="117"/>
      <c r="J128" s="84"/>
      <c r="L128" s="75" t="str">
        <f t="shared" si="11"/>
        <v/>
      </c>
      <c r="M128" s="75" t="str">
        <f t="shared" si="12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3"/>
        <v/>
      </c>
      <c r="D129" s="72" t="str">
        <f t="shared" si="9"/>
        <v/>
      </c>
      <c r="E129" s="84"/>
      <c r="F129" s="122" t="str">
        <f t="shared" si="10"/>
        <v/>
      </c>
      <c r="G129" s="117"/>
      <c r="H129" s="117"/>
      <c r="I129" s="117"/>
      <c r="J129" s="84"/>
      <c r="L129" s="75" t="str">
        <f t="shared" si="11"/>
        <v/>
      </c>
      <c r="M129" s="75" t="str">
        <f t="shared" si="12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3"/>
        <v/>
      </c>
      <c r="D130" s="72" t="str">
        <f t="shared" si="9"/>
        <v/>
      </c>
      <c r="E130" s="84"/>
      <c r="F130" s="122" t="str">
        <f t="shared" si="10"/>
        <v/>
      </c>
      <c r="G130" s="117"/>
      <c r="H130" s="117"/>
      <c r="I130" s="117"/>
      <c r="J130" s="84"/>
      <c r="L130" s="75" t="str">
        <f t="shared" si="11"/>
        <v/>
      </c>
      <c r="M130" s="75" t="str">
        <f t="shared" si="12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3"/>
        <v/>
      </c>
      <c r="D131" s="72" t="str">
        <f t="shared" si="9"/>
        <v/>
      </c>
      <c r="E131" s="84"/>
      <c r="F131" s="122" t="str">
        <f t="shared" si="10"/>
        <v/>
      </c>
      <c r="G131" s="117"/>
      <c r="H131" s="117"/>
      <c r="I131" s="117"/>
      <c r="J131" s="84"/>
      <c r="L131" s="75" t="str">
        <f t="shared" si="11"/>
        <v/>
      </c>
      <c r="M131" s="75" t="str">
        <f t="shared" si="12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ref="C132:C195" si="14">IFERROR(VLOOKUP(E132,$R$6:$U$114,3,FALSE),"")</f>
        <v/>
      </c>
      <c r="D132" s="72" t="str">
        <f t="shared" ref="D132:D195" si="15">IFERROR(VLOOKUP(E132,$R$6:$U$114,4,FALSE),"")</f>
        <v/>
      </c>
      <c r="E132" s="84"/>
      <c r="F132" s="122" t="str">
        <f t="shared" ref="F132:F195" si="16">IFERROR(VLOOKUP(E132,$R$6:$U$114,2,FALSE),"")</f>
        <v/>
      </c>
      <c r="G132" s="117"/>
      <c r="H132" s="117"/>
      <c r="I132" s="117"/>
      <c r="J132" s="84"/>
      <c r="L132" s="75" t="str">
        <f t="shared" si="11"/>
        <v/>
      </c>
      <c r="M132" s="75" t="str">
        <f t="shared" si="12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4"/>
        <v/>
      </c>
      <c r="D133" s="72" t="str">
        <f t="shared" si="15"/>
        <v/>
      </c>
      <c r="E133" s="84"/>
      <c r="F133" s="122" t="str">
        <f t="shared" si="16"/>
        <v/>
      </c>
      <c r="G133" s="117"/>
      <c r="H133" s="117"/>
      <c r="I133" s="117"/>
      <c r="J133" s="84"/>
      <c r="L133" s="75" t="str">
        <f t="shared" ref="L133:L196" si="17">LEFT(E133,2)</f>
        <v/>
      </c>
      <c r="M133" s="75" t="str">
        <f t="shared" ref="M133:M196" si="18">LEFT(E133,3)</f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4"/>
        <v/>
      </c>
      <c r="D134" s="72" t="str">
        <f t="shared" si="15"/>
        <v/>
      </c>
      <c r="E134" s="84"/>
      <c r="F134" s="122" t="str">
        <f t="shared" si="16"/>
        <v/>
      </c>
      <c r="G134" s="117"/>
      <c r="H134" s="117"/>
      <c r="I134" s="117"/>
      <c r="J134" s="84"/>
      <c r="L134" s="75" t="str">
        <f t="shared" si="17"/>
        <v/>
      </c>
      <c r="M134" s="75" t="str">
        <f t="shared" si="18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4"/>
        <v/>
      </c>
      <c r="D135" s="72" t="str">
        <f t="shared" si="15"/>
        <v/>
      </c>
      <c r="E135" s="84"/>
      <c r="F135" s="122" t="str">
        <f t="shared" si="16"/>
        <v/>
      </c>
      <c r="G135" s="117"/>
      <c r="H135" s="117"/>
      <c r="I135" s="117"/>
      <c r="J135" s="84"/>
      <c r="L135" s="75" t="str">
        <f t="shared" si="17"/>
        <v/>
      </c>
      <c r="M135" s="75" t="str">
        <f t="shared" si="18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4"/>
        <v/>
      </c>
      <c r="D136" s="72" t="str">
        <f t="shared" si="15"/>
        <v/>
      </c>
      <c r="E136" s="84"/>
      <c r="F136" s="122" t="str">
        <f t="shared" si="16"/>
        <v/>
      </c>
      <c r="G136" s="117"/>
      <c r="H136" s="117"/>
      <c r="I136" s="117"/>
      <c r="J136" s="84"/>
      <c r="L136" s="75" t="str">
        <f t="shared" si="17"/>
        <v/>
      </c>
      <c r="M136" s="75" t="str">
        <f t="shared" si="18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4"/>
        <v/>
      </c>
      <c r="D137" s="72" t="str">
        <f t="shared" si="15"/>
        <v/>
      </c>
      <c r="E137" s="84"/>
      <c r="F137" s="122" t="str">
        <f t="shared" si="16"/>
        <v/>
      </c>
      <c r="G137" s="117"/>
      <c r="H137" s="117"/>
      <c r="I137" s="117"/>
      <c r="J137" s="84"/>
      <c r="L137" s="75" t="str">
        <f t="shared" si="17"/>
        <v/>
      </c>
      <c r="M137" s="75" t="str">
        <f t="shared" si="18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4"/>
        <v/>
      </c>
      <c r="D138" s="72" t="str">
        <f t="shared" si="15"/>
        <v/>
      </c>
      <c r="E138" s="84"/>
      <c r="F138" s="122" t="str">
        <f t="shared" si="16"/>
        <v/>
      </c>
      <c r="G138" s="117"/>
      <c r="H138" s="117"/>
      <c r="I138" s="117"/>
      <c r="J138" s="84"/>
      <c r="L138" s="75" t="str">
        <f t="shared" si="17"/>
        <v/>
      </c>
      <c r="M138" s="75" t="str">
        <f t="shared" si="18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4"/>
        <v/>
      </c>
      <c r="D139" s="72" t="str">
        <f t="shared" si="15"/>
        <v/>
      </c>
      <c r="E139" s="84"/>
      <c r="F139" s="122" t="str">
        <f t="shared" si="16"/>
        <v/>
      </c>
      <c r="G139" s="117"/>
      <c r="H139" s="117"/>
      <c r="I139" s="117"/>
      <c r="J139" s="84"/>
      <c r="L139" s="75" t="str">
        <f t="shared" si="17"/>
        <v/>
      </c>
      <c r="M139" s="75" t="str">
        <f t="shared" si="18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4"/>
        <v/>
      </c>
      <c r="D140" s="72" t="str">
        <f t="shared" si="15"/>
        <v/>
      </c>
      <c r="E140" s="84"/>
      <c r="F140" s="122" t="str">
        <f t="shared" si="16"/>
        <v/>
      </c>
      <c r="G140" s="117"/>
      <c r="H140" s="117"/>
      <c r="I140" s="117"/>
      <c r="J140" s="84"/>
      <c r="L140" s="75" t="str">
        <f t="shared" si="17"/>
        <v/>
      </c>
      <c r="M140" s="75" t="str">
        <f t="shared" si="18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4"/>
        <v/>
      </c>
      <c r="D141" s="72" t="str">
        <f t="shared" si="15"/>
        <v/>
      </c>
      <c r="E141" s="84"/>
      <c r="F141" s="122" t="str">
        <f t="shared" si="16"/>
        <v/>
      </c>
      <c r="G141" s="117"/>
      <c r="H141" s="117"/>
      <c r="I141" s="117"/>
      <c r="J141" s="84"/>
      <c r="L141" s="75" t="str">
        <f t="shared" si="17"/>
        <v/>
      </c>
      <c r="M141" s="75" t="str">
        <f t="shared" si="18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4"/>
        <v/>
      </c>
      <c r="D142" s="72" t="str">
        <f t="shared" si="15"/>
        <v/>
      </c>
      <c r="E142" s="84"/>
      <c r="F142" s="122" t="str">
        <f t="shared" si="16"/>
        <v/>
      </c>
      <c r="G142" s="117"/>
      <c r="H142" s="117"/>
      <c r="I142" s="117"/>
      <c r="J142" s="84"/>
      <c r="L142" s="75" t="str">
        <f t="shared" si="17"/>
        <v/>
      </c>
      <c r="M142" s="75" t="str">
        <f t="shared" si="18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4"/>
        <v/>
      </c>
      <c r="D143" s="72" t="str">
        <f t="shared" si="15"/>
        <v/>
      </c>
      <c r="E143" s="84"/>
      <c r="F143" s="122" t="str">
        <f t="shared" si="16"/>
        <v/>
      </c>
      <c r="G143" s="117"/>
      <c r="H143" s="117"/>
      <c r="I143" s="117"/>
      <c r="J143" s="84"/>
      <c r="L143" s="75" t="str">
        <f t="shared" si="17"/>
        <v/>
      </c>
      <c r="M143" s="75" t="str">
        <f t="shared" si="18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4"/>
        <v/>
      </c>
      <c r="D144" s="72" t="str">
        <f t="shared" si="15"/>
        <v/>
      </c>
      <c r="E144" s="84"/>
      <c r="F144" s="122" t="str">
        <f t="shared" si="16"/>
        <v/>
      </c>
      <c r="G144" s="117"/>
      <c r="H144" s="117"/>
      <c r="I144" s="117"/>
      <c r="J144" s="84"/>
      <c r="L144" s="75" t="str">
        <f t="shared" si="17"/>
        <v/>
      </c>
      <c r="M144" s="75" t="str">
        <f t="shared" si="18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4"/>
        <v/>
      </c>
      <c r="D145" s="72" t="str">
        <f t="shared" si="15"/>
        <v/>
      </c>
      <c r="E145" s="84"/>
      <c r="F145" s="122" t="str">
        <f t="shared" si="16"/>
        <v/>
      </c>
      <c r="G145" s="117"/>
      <c r="H145" s="117"/>
      <c r="I145" s="117"/>
      <c r="J145" s="84"/>
      <c r="L145" s="75" t="str">
        <f t="shared" si="17"/>
        <v/>
      </c>
      <c r="M145" s="75" t="str">
        <f t="shared" si="18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4"/>
        <v/>
      </c>
      <c r="D146" s="72" t="str">
        <f t="shared" si="15"/>
        <v/>
      </c>
      <c r="E146" s="84"/>
      <c r="F146" s="122" t="str">
        <f t="shared" si="16"/>
        <v/>
      </c>
      <c r="G146" s="117"/>
      <c r="H146" s="117"/>
      <c r="I146" s="117"/>
      <c r="J146" s="84"/>
      <c r="L146" s="75" t="str">
        <f t="shared" si="17"/>
        <v/>
      </c>
      <c r="M146" s="75" t="str">
        <f t="shared" si="18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4"/>
        <v/>
      </c>
      <c r="D147" s="72" t="str">
        <f t="shared" si="15"/>
        <v/>
      </c>
      <c r="E147" s="84"/>
      <c r="F147" s="122" t="str">
        <f t="shared" si="16"/>
        <v/>
      </c>
      <c r="G147" s="117"/>
      <c r="H147" s="117"/>
      <c r="I147" s="117"/>
      <c r="J147" s="84"/>
      <c r="L147" s="75" t="str">
        <f t="shared" si="17"/>
        <v/>
      </c>
      <c r="M147" s="75" t="str">
        <f t="shared" si="18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4"/>
        <v/>
      </c>
      <c r="D148" s="72" t="str">
        <f t="shared" si="15"/>
        <v/>
      </c>
      <c r="E148" s="84"/>
      <c r="F148" s="122" t="str">
        <f t="shared" si="16"/>
        <v/>
      </c>
      <c r="G148" s="117"/>
      <c r="H148" s="117"/>
      <c r="I148" s="117"/>
      <c r="J148" s="84"/>
      <c r="L148" s="75" t="str">
        <f t="shared" si="17"/>
        <v/>
      </c>
      <c r="M148" s="75" t="str">
        <f t="shared" si="18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4"/>
        <v/>
      </c>
      <c r="D149" s="72" t="str">
        <f t="shared" si="15"/>
        <v/>
      </c>
      <c r="E149" s="84"/>
      <c r="F149" s="122" t="str">
        <f t="shared" si="16"/>
        <v/>
      </c>
      <c r="G149" s="117"/>
      <c r="H149" s="117"/>
      <c r="I149" s="117"/>
      <c r="J149" s="84"/>
      <c r="L149" s="75" t="str">
        <f t="shared" si="17"/>
        <v/>
      </c>
      <c r="M149" s="75" t="str">
        <f t="shared" si="18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4"/>
        <v/>
      </c>
      <c r="D150" s="72" t="str">
        <f t="shared" si="15"/>
        <v/>
      </c>
      <c r="E150" s="84"/>
      <c r="F150" s="122" t="str">
        <f t="shared" si="16"/>
        <v/>
      </c>
      <c r="G150" s="117"/>
      <c r="H150" s="117"/>
      <c r="I150" s="117"/>
      <c r="J150" s="84"/>
      <c r="L150" s="75" t="str">
        <f t="shared" si="17"/>
        <v/>
      </c>
      <c r="M150" s="75" t="str">
        <f t="shared" si="18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4"/>
        <v/>
      </c>
      <c r="D151" s="72" t="str">
        <f t="shared" si="15"/>
        <v/>
      </c>
      <c r="E151" s="84"/>
      <c r="F151" s="122" t="str">
        <f t="shared" si="16"/>
        <v/>
      </c>
      <c r="G151" s="117"/>
      <c r="H151" s="117"/>
      <c r="I151" s="117"/>
      <c r="J151" s="84"/>
      <c r="L151" s="75" t="str">
        <f t="shared" si="17"/>
        <v/>
      </c>
      <c r="M151" s="75" t="str">
        <f t="shared" si="18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4"/>
        <v/>
      </c>
      <c r="D152" s="72" t="str">
        <f t="shared" si="15"/>
        <v/>
      </c>
      <c r="E152" s="84"/>
      <c r="F152" s="122" t="str">
        <f t="shared" si="16"/>
        <v/>
      </c>
      <c r="G152" s="117"/>
      <c r="H152" s="117"/>
      <c r="I152" s="117"/>
      <c r="J152" s="84"/>
      <c r="L152" s="75" t="str">
        <f t="shared" si="17"/>
        <v/>
      </c>
      <c r="M152" s="75" t="str">
        <f t="shared" si="18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4"/>
        <v/>
      </c>
      <c r="D153" s="72" t="str">
        <f t="shared" si="15"/>
        <v/>
      </c>
      <c r="E153" s="84"/>
      <c r="F153" s="122" t="str">
        <f t="shared" si="16"/>
        <v/>
      </c>
      <c r="G153" s="117"/>
      <c r="H153" s="117"/>
      <c r="I153" s="117"/>
      <c r="J153" s="84"/>
      <c r="L153" s="75" t="str">
        <f t="shared" si="17"/>
        <v/>
      </c>
      <c r="M153" s="75" t="str">
        <f t="shared" si="18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4"/>
        <v/>
      </c>
      <c r="D154" s="72" t="str">
        <f t="shared" si="15"/>
        <v/>
      </c>
      <c r="E154" s="84"/>
      <c r="F154" s="122" t="str">
        <f t="shared" si="16"/>
        <v/>
      </c>
      <c r="G154" s="117"/>
      <c r="H154" s="117"/>
      <c r="I154" s="117"/>
      <c r="J154" s="84"/>
      <c r="L154" s="75" t="str">
        <f t="shared" si="17"/>
        <v/>
      </c>
      <c r="M154" s="75" t="str">
        <f t="shared" si="18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4"/>
        <v/>
      </c>
      <c r="D155" s="72" t="str">
        <f t="shared" si="15"/>
        <v/>
      </c>
      <c r="E155" s="84"/>
      <c r="F155" s="122" t="str">
        <f t="shared" si="16"/>
        <v/>
      </c>
      <c r="G155" s="117"/>
      <c r="H155" s="117"/>
      <c r="I155" s="117"/>
      <c r="J155" s="84"/>
      <c r="L155" s="75" t="str">
        <f t="shared" si="17"/>
        <v/>
      </c>
      <c r="M155" s="75" t="str">
        <f t="shared" si="18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4"/>
        <v/>
      </c>
      <c r="D156" s="72" t="str">
        <f t="shared" si="15"/>
        <v/>
      </c>
      <c r="E156" s="84"/>
      <c r="F156" s="122" t="str">
        <f t="shared" si="16"/>
        <v/>
      </c>
      <c r="G156" s="117"/>
      <c r="H156" s="117"/>
      <c r="I156" s="117"/>
      <c r="J156" s="84"/>
      <c r="L156" s="75" t="str">
        <f t="shared" si="17"/>
        <v/>
      </c>
      <c r="M156" s="75" t="str">
        <f t="shared" si="18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4"/>
        <v/>
      </c>
      <c r="D157" s="72" t="str">
        <f t="shared" si="15"/>
        <v/>
      </c>
      <c r="E157" s="84"/>
      <c r="F157" s="122" t="str">
        <f t="shared" si="16"/>
        <v/>
      </c>
      <c r="G157" s="117"/>
      <c r="H157" s="117"/>
      <c r="I157" s="117"/>
      <c r="J157" s="84"/>
      <c r="L157" s="75" t="str">
        <f t="shared" si="17"/>
        <v/>
      </c>
      <c r="M157" s="75" t="str">
        <f t="shared" si="18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4"/>
        <v/>
      </c>
      <c r="D158" s="72" t="str">
        <f t="shared" si="15"/>
        <v/>
      </c>
      <c r="E158" s="84"/>
      <c r="F158" s="122" t="str">
        <f t="shared" si="16"/>
        <v/>
      </c>
      <c r="G158" s="117"/>
      <c r="H158" s="117"/>
      <c r="I158" s="117"/>
      <c r="J158" s="84"/>
      <c r="L158" s="75" t="str">
        <f t="shared" si="17"/>
        <v/>
      </c>
      <c r="M158" s="75" t="str">
        <f t="shared" si="18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4"/>
        <v/>
      </c>
      <c r="D159" s="72" t="str">
        <f t="shared" si="15"/>
        <v/>
      </c>
      <c r="E159" s="84"/>
      <c r="F159" s="122" t="str">
        <f t="shared" si="16"/>
        <v/>
      </c>
      <c r="G159" s="117"/>
      <c r="H159" s="117"/>
      <c r="I159" s="117"/>
      <c r="J159" s="84"/>
      <c r="L159" s="75" t="str">
        <f t="shared" si="17"/>
        <v/>
      </c>
      <c r="M159" s="75" t="str">
        <f t="shared" si="18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4"/>
        <v/>
      </c>
      <c r="D160" s="72" t="str">
        <f t="shared" si="15"/>
        <v/>
      </c>
      <c r="E160" s="84"/>
      <c r="F160" s="122" t="str">
        <f t="shared" si="16"/>
        <v/>
      </c>
      <c r="G160" s="117"/>
      <c r="H160" s="117"/>
      <c r="I160" s="117"/>
      <c r="J160" s="84"/>
      <c r="L160" s="75" t="str">
        <f t="shared" si="17"/>
        <v/>
      </c>
      <c r="M160" s="75" t="str">
        <f t="shared" si="18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4"/>
        <v/>
      </c>
      <c r="D161" s="72" t="str">
        <f t="shared" si="15"/>
        <v/>
      </c>
      <c r="E161" s="84"/>
      <c r="F161" s="122" t="str">
        <f t="shared" si="16"/>
        <v/>
      </c>
      <c r="G161" s="117"/>
      <c r="H161" s="117"/>
      <c r="I161" s="117"/>
      <c r="J161" s="84"/>
      <c r="L161" s="75" t="str">
        <f t="shared" si="17"/>
        <v/>
      </c>
      <c r="M161" s="75" t="str">
        <f t="shared" si="18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4"/>
        <v/>
      </c>
      <c r="D162" s="72" t="str">
        <f t="shared" si="15"/>
        <v/>
      </c>
      <c r="E162" s="84"/>
      <c r="F162" s="122" t="str">
        <f t="shared" si="16"/>
        <v/>
      </c>
      <c r="G162" s="117"/>
      <c r="H162" s="117"/>
      <c r="I162" s="117"/>
      <c r="J162" s="84"/>
      <c r="L162" s="75" t="str">
        <f t="shared" si="17"/>
        <v/>
      </c>
      <c r="M162" s="75" t="str">
        <f t="shared" si="18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4"/>
        <v/>
      </c>
      <c r="D163" s="72" t="str">
        <f t="shared" si="15"/>
        <v/>
      </c>
      <c r="E163" s="84"/>
      <c r="F163" s="122" t="str">
        <f t="shared" si="16"/>
        <v/>
      </c>
      <c r="G163" s="117"/>
      <c r="H163" s="117"/>
      <c r="I163" s="117"/>
      <c r="J163" s="84"/>
      <c r="L163" s="75" t="str">
        <f t="shared" si="17"/>
        <v/>
      </c>
      <c r="M163" s="75" t="str">
        <f t="shared" si="18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4"/>
        <v/>
      </c>
      <c r="D164" s="72" t="str">
        <f t="shared" si="15"/>
        <v/>
      </c>
      <c r="E164" s="84"/>
      <c r="F164" s="122" t="str">
        <f t="shared" si="16"/>
        <v/>
      </c>
      <c r="G164" s="117"/>
      <c r="H164" s="117"/>
      <c r="I164" s="117"/>
      <c r="J164" s="84"/>
      <c r="L164" s="75" t="str">
        <f t="shared" si="17"/>
        <v/>
      </c>
      <c r="M164" s="75" t="str">
        <f t="shared" si="18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4"/>
        <v/>
      </c>
      <c r="D165" s="72" t="str">
        <f t="shared" si="15"/>
        <v/>
      </c>
      <c r="E165" s="84"/>
      <c r="F165" s="122" t="str">
        <f t="shared" si="16"/>
        <v/>
      </c>
      <c r="G165" s="117"/>
      <c r="H165" s="117"/>
      <c r="I165" s="117"/>
      <c r="J165" s="84"/>
      <c r="L165" s="75" t="str">
        <f t="shared" si="17"/>
        <v/>
      </c>
      <c r="M165" s="75" t="str">
        <f t="shared" si="18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4"/>
        <v/>
      </c>
      <c r="D166" s="72" t="str">
        <f t="shared" si="15"/>
        <v/>
      </c>
      <c r="E166" s="84"/>
      <c r="F166" s="122" t="str">
        <f t="shared" si="16"/>
        <v/>
      </c>
      <c r="G166" s="117"/>
      <c r="H166" s="117"/>
      <c r="I166" s="117"/>
      <c r="J166" s="84"/>
      <c r="L166" s="75" t="str">
        <f t="shared" si="17"/>
        <v/>
      </c>
      <c r="M166" s="75" t="str">
        <f t="shared" si="18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4"/>
        <v/>
      </c>
      <c r="D167" s="72" t="str">
        <f t="shared" si="15"/>
        <v/>
      </c>
      <c r="E167" s="84"/>
      <c r="F167" s="122" t="str">
        <f t="shared" si="16"/>
        <v/>
      </c>
      <c r="G167" s="117"/>
      <c r="H167" s="117"/>
      <c r="I167" s="117"/>
      <c r="J167" s="84"/>
      <c r="L167" s="75" t="str">
        <f t="shared" si="17"/>
        <v/>
      </c>
      <c r="M167" s="75" t="str">
        <f t="shared" si="18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4"/>
        <v/>
      </c>
      <c r="D168" s="72" t="str">
        <f t="shared" si="15"/>
        <v/>
      </c>
      <c r="E168" s="84"/>
      <c r="F168" s="122" t="str">
        <f t="shared" si="16"/>
        <v/>
      </c>
      <c r="G168" s="117"/>
      <c r="H168" s="117"/>
      <c r="I168" s="117"/>
      <c r="J168" s="84"/>
      <c r="L168" s="75" t="str">
        <f t="shared" si="17"/>
        <v/>
      </c>
      <c r="M168" s="75" t="str">
        <f t="shared" si="18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4"/>
        <v/>
      </c>
      <c r="D169" s="72" t="str">
        <f t="shared" si="15"/>
        <v/>
      </c>
      <c r="E169" s="84"/>
      <c r="F169" s="122" t="str">
        <f t="shared" si="16"/>
        <v/>
      </c>
      <c r="G169" s="117"/>
      <c r="H169" s="117"/>
      <c r="I169" s="117"/>
      <c r="J169" s="84"/>
      <c r="L169" s="75" t="str">
        <f t="shared" si="17"/>
        <v/>
      </c>
      <c r="M169" s="75" t="str">
        <f t="shared" si="18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4"/>
        <v/>
      </c>
      <c r="D170" s="72" t="str">
        <f t="shared" si="15"/>
        <v/>
      </c>
      <c r="E170" s="84"/>
      <c r="F170" s="122" t="str">
        <f t="shared" si="16"/>
        <v/>
      </c>
      <c r="G170" s="117"/>
      <c r="H170" s="117"/>
      <c r="I170" s="117"/>
      <c r="J170" s="84"/>
      <c r="L170" s="75" t="str">
        <f t="shared" si="17"/>
        <v/>
      </c>
      <c r="M170" s="75" t="str">
        <f t="shared" si="18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4"/>
        <v/>
      </c>
      <c r="D171" s="72" t="str">
        <f t="shared" si="15"/>
        <v/>
      </c>
      <c r="E171" s="84"/>
      <c r="F171" s="122" t="str">
        <f t="shared" si="16"/>
        <v/>
      </c>
      <c r="G171" s="117"/>
      <c r="H171" s="117"/>
      <c r="I171" s="117"/>
      <c r="J171" s="84"/>
      <c r="L171" s="75" t="str">
        <f t="shared" si="17"/>
        <v/>
      </c>
      <c r="M171" s="75" t="str">
        <f t="shared" si="18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4"/>
        <v/>
      </c>
      <c r="D172" s="72" t="str">
        <f t="shared" si="15"/>
        <v/>
      </c>
      <c r="E172" s="84"/>
      <c r="F172" s="122" t="str">
        <f t="shared" si="16"/>
        <v/>
      </c>
      <c r="G172" s="117"/>
      <c r="H172" s="117"/>
      <c r="I172" s="117"/>
      <c r="J172" s="84"/>
      <c r="L172" s="75" t="str">
        <f t="shared" si="17"/>
        <v/>
      </c>
      <c r="M172" s="75" t="str">
        <f t="shared" si="18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4"/>
        <v/>
      </c>
      <c r="D173" s="72" t="str">
        <f t="shared" si="15"/>
        <v/>
      </c>
      <c r="E173" s="84"/>
      <c r="F173" s="122" t="str">
        <f t="shared" si="16"/>
        <v/>
      </c>
      <c r="G173" s="117"/>
      <c r="H173" s="117"/>
      <c r="I173" s="117"/>
      <c r="J173" s="84"/>
      <c r="L173" s="75" t="str">
        <f t="shared" si="17"/>
        <v/>
      </c>
      <c r="M173" s="75" t="str">
        <f t="shared" si="18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4"/>
        <v/>
      </c>
      <c r="D174" s="72" t="str">
        <f t="shared" si="15"/>
        <v/>
      </c>
      <c r="E174" s="84"/>
      <c r="F174" s="122" t="str">
        <f t="shared" si="16"/>
        <v/>
      </c>
      <c r="G174" s="117"/>
      <c r="H174" s="117"/>
      <c r="I174" s="117"/>
      <c r="J174" s="84"/>
      <c r="L174" s="75" t="str">
        <f t="shared" si="17"/>
        <v/>
      </c>
      <c r="M174" s="75" t="str">
        <f t="shared" si="18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4"/>
        <v/>
      </c>
      <c r="D175" s="72" t="str">
        <f t="shared" si="15"/>
        <v/>
      </c>
      <c r="E175" s="84"/>
      <c r="F175" s="122" t="str">
        <f t="shared" si="16"/>
        <v/>
      </c>
      <c r="G175" s="117"/>
      <c r="H175" s="117"/>
      <c r="I175" s="117"/>
      <c r="J175" s="84"/>
      <c r="L175" s="75" t="str">
        <f t="shared" si="17"/>
        <v/>
      </c>
      <c r="M175" s="75" t="str">
        <f t="shared" si="18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4"/>
        <v/>
      </c>
      <c r="D176" s="72" t="str">
        <f t="shared" si="15"/>
        <v/>
      </c>
      <c r="E176" s="84"/>
      <c r="F176" s="122" t="str">
        <f t="shared" si="16"/>
        <v/>
      </c>
      <c r="G176" s="117"/>
      <c r="H176" s="117"/>
      <c r="I176" s="117"/>
      <c r="J176" s="84"/>
      <c r="L176" s="75" t="str">
        <f t="shared" si="17"/>
        <v/>
      </c>
      <c r="M176" s="75" t="str">
        <f t="shared" si="18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4"/>
        <v/>
      </c>
      <c r="D177" s="72" t="str">
        <f t="shared" si="15"/>
        <v/>
      </c>
      <c r="E177" s="84"/>
      <c r="F177" s="122" t="str">
        <f t="shared" si="16"/>
        <v/>
      </c>
      <c r="G177" s="117"/>
      <c r="H177" s="117"/>
      <c r="I177" s="117"/>
      <c r="J177" s="84"/>
      <c r="L177" s="75" t="str">
        <f t="shared" si="17"/>
        <v/>
      </c>
      <c r="M177" s="75" t="str">
        <f t="shared" si="18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4"/>
        <v/>
      </c>
      <c r="D178" s="72" t="str">
        <f t="shared" si="15"/>
        <v/>
      </c>
      <c r="E178" s="84"/>
      <c r="F178" s="122" t="str">
        <f t="shared" si="16"/>
        <v/>
      </c>
      <c r="G178" s="117"/>
      <c r="H178" s="117"/>
      <c r="I178" s="117"/>
      <c r="J178" s="84"/>
      <c r="L178" s="75" t="str">
        <f t="shared" si="17"/>
        <v/>
      </c>
      <c r="M178" s="75" t="str">
        <f t="shared" si="18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4"/>
        <v/>
      </c>
      <c r="D179" s="72" t="str">
        <f t="shared" si="15"/>
        <v/>
      </c>
      <c r="E179" s="84"/>
      <c r="F179" s="122" t="str">
        <f t="shared" si="16"/>
        <v/>
      </c>
      <c r="G179" s="117"/>
      <c r="H179" s="117"/>
      <c r="I179" s="117"/>
      <c r="J179" s="84"/>
      <c r="L179" s="75" t="str">
        <f t="shared" si="17"/>
        <v/>
      </c>
      <c r="M179" s="75" t="str">
        <f t="shared" si="18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4"/>
        <v/>
      </c>
      <c r="D180" s="72" t="str">
        <f t="shared" si="15"/>
        <v/>
      </c>
      <c r="E180" s="84"/>
      <c r="F180" s="122" t="str">
        <f t="shared" si="16"/>
        <v/>
      </c>
      <c r="G180" s="117"/>
      <c r="H180" s="117"/>
      <c r="I180" s="117"/>
      <c r="J180" s="84"/>
      <c r="L180" s="75" t="str">
        <f t="shared" si="17"/>
        <v/>
      </c>
      <c r="M180" s="75" t="str">
        <f t="shared" si="18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4"/>
        <v/>
      </c>
      <c r="D181" s="72" t="str">
        <f t="shared" si="15"/>
        <v/>
      </c>
      <c r="E181" s="84"/>
      <c r="F181" s="122" t="str">
        <f t="shared" si="16"/>
        <v/>
      </c>
      <c r="G181" s="117"/>
      <c r="H181" s="117"/>
      <c r="I181" s="117"/>
      <c r="J181" s="84"/>
      <c r="L181" s="75" t="str">
        <f t="shared" si="17"/>
        <v/>
      </c>
      <c r="M181" s="75" t="str">
        <f t="shared" si="18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4"/>
        <v/>
      </c>
      <c r="D182" s="72" t="str">
        <f t="shared" si="15"/>
        <v/>
      </c>
      <c r="E182" s="84"/>
      <c r="F182" s="122" t="str">
        <f t="shared" si="16"/>
        <v/>
      </c>
      <c r="G182" s="117"/>
      <c r="H182" s="117"/>
      <c r="I182" s="117"/>
      <c r="J182" s="84"/>
      <c r="L182" s="75" t="str">
        <f t="shared" si="17"/>
        <v/>
      </c>
      <c r="M182" s="75" t="str">
        <f t="shared" si="18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4"/>
        <v/>
      </c>
      <c r="D183" s="72" t="str">
        <f t="shared" si="15"/>
        <v/>
      </c>
      <c r="E183" s="84"/>
      <c r="F183" s="122" t="str">
        <f t="shared" si="16"/>
        <v/>
      </c>
      <c r="G183" s="117"/>
      <c r="H183" s="117"/>
      <c r="I183" s="117"/>
      <c r="J183" s="84"/>
      <c r="L183" s="75" t="str">
        <f t="shared" si="17"/>
        <v/>
      </c>
      <c r="M183" s="75" t="str">
        <f t="shared" si="18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4"/>
        <v/>
      </c>
      <c r="D184" s="72" t="str">
        <f t="shared" si="15"/>
        <v/>
      </c>
      <c r="E184" s="84"/>
      <c r="F184" s="122" t="str">
        <f t="shared" si="16"/>
        <v/>
      </c>
      <c r="G184" s="117"/>
      <c r="H184" s="117"/>
      <c r="I184" s="117"/>
      <c r="J184" s="84"/>
      <c r="L184" s="75" t="str">
        <f t="shared" si="17"/>
        <v/>
      </c>
      <c r="M184" s="75" t="str">
        <f t="shared" si="18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4"/>
        <v/>
      </c>
      <c r="D185" s="72" t="str">
        <f t="shared" si="15"/>
        <v/>
      </c>
      <c r="E185" s="84"/>
      <c r="F185" s="122" t="str">
        <f t="shared" si="16"/>
        <v/>
      </c>
      <c r="G185" s="117"/>
      <c r="H185" s="117"/>
      <c r="I185" s="117"/>
      <c r="J185" s="84"/>
      <c r="L185" s="75" t="str">
        <f t="shared" si="17"/>
        <v/>
      </c>
      <c r="M185" s="75" t="str">
        <f t="shared" si="18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4"/>
        <v/>
      </c>
      <c r="D186" s="72" t="str">
        <f t="shared" si="15"/>
        <v/>
      </c>
      <c r="E186" s="84"/>
      <c r="F186" s="122" t="str">
        <f t="shared" si="16"/>
        <v/>
      </c>
      <c r="G186" s="117"/>
      <c r="H186" s="117"/>
      <c r="I186" s="117"/>
      <c r="J186" s="84"/>
      <c r="L186" s="75" t="str">
        <f t="shared" si="17"/>
        <v/>
      </c>
      <c r="M186" s="75" t="str">
        <f t="shared" si="18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4"/>
        <v/>
      </c>
      <c r="D187" s="72" t="str">
        <f t="shared" si="15"/>
        <v/>
      </c>
      <c r="E187" s="84"/>
      <c r="F187" s="122" t="str">
        <f t="shared" si="16"/>
        <v/>
      </c>
      <c r="G187" s="117"/>
      <c r="H187" s="117"/>
      <c r="I187" s="117"/>
      <c r="J187" s="84"/>
      <c r="L187" s="75" t="str">
        <f t="shared" si="17"/>
        <v/>
      </c>
      <c r="M187" s="75" t="str">
        <f t="shared" si="18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4"/>
        <v/>
      </c>
      <c r="D188" s="72" t="str">
        <f t="shared" si="15"/>
        <v/>
      </c>
      <c r="E188" s="84"/>
      <c r="F188" s="122" t="str">
        <f t="shared" si="16"/>
        <v/>
      </c>
      <c r="G188" s="117"/>
      <c r="H188" s="117"/>
      <c r="I188" s="117"/>
      <c r="J188" s="84"/>
      <c r="L188" s="75" t="str">
        <f t="shared" si="17"/>
        <v/>
      </c>
      <c r="M188" s="75" t="str">
        <f t="shared" si="18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4"/>
        <v/>
      </c>
      <c r="D189" s="72" t="str">
        <f t="shared" si="15"/>
        <v/>
      </c>
      <c r="E189" s="84"/>
      <c r="F189" s="122" t="str">
        <f t="shared" si="16"/>
        <v/>
      </c>
      <c r="G189" s="117"/>
      <c r="H189" s="117"/>
      <c r="I189" s="117"/>
      <c r="J189" s="84"/>
      <c r="L189" s="75" t="str">
        <f t="shared" si="17"/>
        <v/>
      </c>
      <c r="M189" s="75" t="str">
        <f t="shared" si="18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4"/>
        <v/>
      </c>
      <c r="D190" s="72" t="str">
        <f t="shared" si="15"/>
        <v/>
      </c>
      <c r="E190" s="84"/>
      <c r="F190" s="122" t="str">
        <f t="shared" si="16"/>
        <v/>
      </c>
      <c r="G190" s="117"/>
      <c r="H190" s="117"/>
      <c r="I190" s="117"/>
      <c r="J190" s="84"/>
      <c r="L190" s="75" t="str">
        <f t="shared" si="17"/>
        <v/>
      </c>
      <c r="M190" s="75" t="str">
        <f t="shared" si="18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4"/>
        <v/>
      </c>
      <c r="D191" s="72" t="str">
        <f t="shared" si="15"/>
        <v/>
      </c>
      <c r="E191" s="84"/>
      <c r="F191" s="122" t="str">
        <f t="shared" si="16"/>
        <v/>
      </c>
      <c r="G191" s="117"/>
      <c r="H191" s="117"/>
      <c r="I191" s="117"/>
      <c r="J191" s="84"/>
      <c r="L191" s="75" t="str">
        <f t="shared" si="17"/>
        <v/>
      </c>
      <c r="M191" s="75" t="str">
        <f t="shared" si="18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4"/>
        <v/>
      </c>
      <c r="D192" s="72" t="str">
        <f t="shared" si="15"/>
        <v/>
      </c>
      <c r="E192" s="84"/>
      <c r="F192" s="122" t="str">
        <f t="shared" si="16"/>
        <v/>
      </c>
      <c r="G192" s="117"/>
      <c r="H192" s="117"/>
      <c r="I192" s="117"/>
      <c r="J192" s="84"/>
      <c r="L192" s="75" t="str">
        <f t="shared" si="17"/>
        <v/>
      </c>
      <c r="M192" s="75" t="str">
        <f t="shared" si="18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4"/>
        <v/>
      </c>
      <c r="D193" s="72" t="str">
        <f t="shared" si="15"/>
        <v/>
      </c>
      <c r="E193" s="84"/>
      <c r="F193" s="122" t="str">
        <f t="shared" si="16"/>
        <v/>
      </c>
      <c r="G193" s="117"/>
      <c r="H193" s="117"/>
      <c r="I193" s="117"/>
      <c r="J193" s="84"/>
      <c r="L193" s="75" t="str">
        <f t="shared" si="17"/>
        <v/>
      </c>
      <c r="M193" s="75" t="str">
        <f t="shared" si="18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4"/>
        <v/>
      </c>
      <c r="D194" s="72" t="str">
        <f t="shared" si="15"/>
        <v/>
      </c>
      <c r="E194" s="84"/>
      <c r="F194" s="122" t="str">
        <f t="shared" si="16"/>
        <v/>
      </c>
      <c r="G194" s="117"/>
      <c r="H194" s="117"/>
      <c r="I194" s="117"/>
      <c r="J194" s="84"/>
      <c r="L194" s="75" t="str">
        <f t="shared" si="17"/>
        <v/>
      </c>
      <c r="M194" s="75" t="str">
        <f t="shared" si="18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4"/>
        <v/>
      </c>
      <c r="D195" s="72" t="str">
        <f t="shared" si="15"/>
        <v/>
      </c>
      <c r="E195" s="84"/>
      <c r="F195" s="122" t="str">
        <f t="shared" si="16"/>
        <v/>
      </c>
      <c r="G195" s="117"/>
      <c r="H195" s="117"/>
      <c r="I195" s="117"/>
      <c r="J195" s="84"/>
      <c r="L195" s="75" t="str">
        <f t="shared" si="17"/>
        <v/>
      </c>
      <c r="M195" s="75" t="str">
        <f t="shared" si="18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ref="C196:C259" si="19">IFERROR(VLOOKUP(E196,$R$6:$U$114,3,FALSE),"")</f>
        <v/>
      </c>
      <c r="D196" s="72" t="str">
        <f t="shared" ref="D196:D259" si="20">IFERROR(VLOOKUP(E196,$R$6:$U$114,4,FALSE),"")</f>
        <v/>
      </c>
      <c r="E196" s="84"/>
      <c r="F196" s="122" t="str">
        <f t="shared" ref="F196:F259" si="21">IFERROR(VLOOKUP(E196,$R$6:$U$114,2,FALSE),"")</f>
        <v/>
      </c>
      <c r="G196" s="117"/>
      <c r="H196" s="117"/>
      <c r="I196" s="117"/>
      <c r="J196" s="84"/>
      <c r="L196" s="75" t="str">
        <f t="shared" si="17"/>
        <v/>
      </c>
      <c r="M196" s="75" t="str">
        <f t="shared" si="18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9"/>
        <v/>
      </c>
      <c r="D197" s="72" t="str">
        <f t="shared" si="20"/>
        <v/>
      </c>
      <c r="E197" s="84"/>
      <c r="F197" s="122" t="str">
        <f t="shared" si="21"/>
        <v/>
      </c>
      <c r="G197" s="117"/>
      <c r="H197" s="117"/>
      <c r="I197" s="117"/>
      <c r="J197" s="84"/>
      <c r="L197" s="75" t="str">
        <f t="shared" ref="L197:L260" si="22">LEFT(E197,2)</f>
        <v/>
      </c>
      <c r="M197" s="75" t="str">
        <f t="shared" ref="M197:M260" si="23">LEFT(E197,3)</f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9"/>
        <v/>
      </c>
      <c r="D198" s="72" t="str">
        <f t="shared" si="20"/>
        <v/>
      </c>
      <c r="E198" s="84"/>
      <c r="F198" s="122" t="str">
        <f t="shared" si="21"/>
        <v/>
      </c>
      <c r="G198" s="117"/>
      <c r="H198" s="117"/>
      <c r="I198" s="117"/>
      <c r="J198" s="84"/>
      <c r="L198" s="75" t="str">
        <f t="shared" si="22"/>
        <v/>
      </c>
      <c r="M198" s="75" t="str">
        <f t="shared" si="23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9"/>
        <v/>
      </c>
      <c r="D199" s="72" t="str">
        <f t="shared" si="20"/>
        <v/>
      </c>
      <c r="E199" s="84"/>
      <c r="F199" s="122" t="str">
        <f t="shared" si="21"/>
        <v/>
      </c>
      <c r="G199" s="117"/>
      <c r="H199" s="117"/>
      <c r="I199" s="117"/>
      <c r="J199" s="84"/>
      <c r="L199" s="75" t="str">
        <f t="shared" si="22"/>
        <v/>
      </c>
      <c r="M199" s="75" t="str">
        <f t="shared" si="23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9"/>
        <v/>
      </c>
      <c r="D200" s="72" t="str">
        <f t="shared" si="20"/>
        <v/>
      </c>
      <c r="E200" s="84"/>
      <c r="F200" s="122" t="str">
        <f t="shared" si="21"/>
        <v/>
      </c>
      <c r="G200" s="117"/>
      <c r="H200" s="117"/>
      <c r="I200" s="117"/>
      <c r="J200" s="84"/>
      <c r="L200" s="75" t="str">
        <f t="shared" si="22"/>
        <v/>
      </c>
      <c r="M200" s="75" t="str">
        <f t="shared" si="23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9"/>
        <v/>
      </c>
      <c r="D201" s="72" t="str">
        <f t="shared" si="20"/>
        <v/>
      </c>
      <c r="E201" s="84"/>
      <c r="F201" s="122" t="str">
        <f t="shared" si="21"/>
        <v/>
      </c>
      <c r="G201" s="117"/>
      <c r="H201" s="117"/>
      <c r="I201" s="117"/>
      <c r="J201" s="84"/>
      <c r="L201" s="75" t="str">
        <f t="shared" si="22"/>
        <v/>
      </c>
      <c r="M201" s="75" t="str">
        <f t="shared" si="23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9"/>
        <v/>
      </c>
      <c r="D202" s="72" t="str">
        <f t="shared" si="20"/>
        <v/>
      </c>
      <c r="E202" s="84"/>
      <c r="F202" s="122" t="str">
        <f t="shared" si="21"/>
        <v/>
      </c>
      <c r="G202" s="117"/>
      <c r="H202" s="117"/>
      <c r="I202" s="117"/>
      <c r="J202" s="84"/>
      <c r="L202" s="75" t="str">
        <f t="shared" si="22"/>
        <v/>
      </c>
      <c r="M202" s="75" t="str">
        <f t="shared" si="23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9"/>
        <v/>
      </c>
      <c r="D203" s="72" t="str">
        <f t="shared" si="20"/>
        <v/>
      </c>
      <c r="E203" s="84"/>
      <c r="F203" s="122" t="str">
        <f t="shared" si="21"/>
        <v/>
      </c>
      <c r="G203" s="117"/>
      <c r="H203" s="117"/>
      <c r="I203" s="117"/>
      <c r="J203" s="84"/>
      <c r="L203" s="75" t="str">
        <f t="shared" si="22"/>
        <v/>
      </c>
      <c r="M203" s="75" t="str">
        <f t="shared" si="23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9"/>
        <v/>
      </c>
      <c r="D204" s="72" t="str">
        <f t="shared" si="20"/>
        <v/>
      </c>
      <c r="E204" s="84"/>
      <c r="F204" s="122" t="str">
        <f t="shared" si="21"/>
        <v/>
      </c>
      <c r="G204" s="117"/>
      <c r="H204" s="117"/>
      <c r="I204" s="117"/>
      <c r="J204" s="84"/>
      <c r="L204" s="75" t="str">
        <f t="shared" si="22"/>
        <v/>
      </c>
      <c r="M204" s="75" t="str">
        <f t="shared" si="23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9"/>
        <v/>
      </c>
      <c r="D205" s="72" t="str">
        <f t="shared" si="20"/>
        <v/>
      </c>
      <c r="E205" s="84"/>
      <c r="F205" s="122" t="str">
        <f t="shared" si="21"/>
        <v/>
      </c>
      <c r="G205" s="117"/>
      <c r="H205" s="117"/>
      <c r="I205" s="117"/>
      <c r="J205" s="84"/>
      <c r="L205" s="75" t="str">
        <f t="shared" si="22"/>
        <v/>
      </c>
      <c r="M205" s="75" t="str">
        <f t="shared" si="23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9"/>
        <v/>
      </c>
      <c r="D206" s="72" t="str">
        <f t="shared" si="20"/>
        <v/>
      </c>
      <c r="E206" s="84"/>
      <c r="F206" s="122" t="str">
        <f t="shared" si="21"/>
        <v/>
      </c>
      <c r="G206" s="117"/>
      <c r="H206" s="117"/>
      <c r="I206" s="117"/>
      <c r="J206" s="84"/>
      <c r="L206" s="75" t="str">
        <f t="shared" si="22"/>
        <v/>
      </c>
      <c r="M206" s="75" t="str">
        <f t="shared" si="23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9"/>
        <v/>
      </c>
      <c r="D207" s="72" t="str">
        <f t="shared" si="20"/>
        <v/>
      </c>
      <c r="E207" s="84"/>
      <c r="F207" s="122" t="str">
        <f t="shared" si="21"/>
        <v/>
      </c>
      <c r="G207" s="117"/>
      <c r="H207" s="117"/>
      <c r="I207" s="117"/>
      <c r="J207" s="84"/>
      <c r="L207" s="75" t="str">
        <f t="shared" si="22"/>
        <v/>
      </c>
      <c r="M207" s="75" t="str">
        <f t="shared" si="23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9"/>
        <v/>
      </c>
      <c r="D208" s="72" t="str">
        <f t="shared" si="20"/>
        <v/>
      </c>
      <c r="E208" s="84"/>
      <c r="F208" s="122" t="str">
        <f t="shared" si="21"/>
        <v/>
      </c>
      <c r="G208" s="117"/>
      <c r="H208" s="117"/>
      <c r="I208" s="117"/>
      <c r="J208" s="84"/>
      <c r="L208" s="75" t="str">
        <f t="shared" si="22"/>
        <v/>
      </c>
      <c r="M208" s="75" t="str">
        <f t="shared" si="23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9"/>
        <v/>
      </c>
      <c r="D209" s="72" t="str">
        <f t="shared" si="20"/>
        <v/>
      </c>
      <c r="E209" s="84"/>
      <c r="F209" s="122" t="str">
        <f t="shared" si="21"/>
        <v/>
      </c>
      <c r="G209" s="117"/>
      <c r="H209" s="117"/>
      <c r="I209" s="117"/>
      <c r="J209" s="84"/>
      <c r="L209" s="75" t="str">
        <f t="shared" si="22"/>
        <v/>
      </c>
      <c r="M209" s="75" t="str">
        <f t="shared" si="23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9"/>
        <v/>
      </c>
      <c r="D210" s="72" t="str">
        <f t="shared" si="20"/>
        <v/>
      </c>
      <c r="E210" s="84"/>
      <c r="F210" s="122" t="str">
        <f t="shared" si="21"/>
        <v/>
      </c>
      <c r="G210" s="117"/>
      <c r="H210" s="117"/>
      <c r="I210" s="117"/>
      <c r="J210" s="84"/>
      <c r="L210" s="75" t="str">
        <f t="shared" si="22"/>
        <v/>
      </c>
      <c r="M210" s="75" t="str">
        <f t="shared" si="23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9"/>
        <v/>
      </c>
      <c r="D211" s="72" t="str">
        <f t="shared" si="20"/>
        <v/>
      </c>
      <c r="E211" s="84"/>
      <c r="F211" s="122" t="str">
        <f t="shared" si="21"/>
        <v/>
      </c>
      <c r="G211" s="117"/>
      <c r="H211" s="117"/>
      <c r="I211" s="117"/>
      <c r="J211" s="84"/>
      <c r="L211" s="75" t="str">
        <f t="shared" si="22"/>
        <v/>
      </c>
      <c r="M211" s="75" t="str">
        <f t="shared" si="23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9"/>
        <v/>
      </c>
      <c r="D212" s="72" t="str">
        <f t="shared" si="20"/>
        <v/>
      </c>
      <c r="E212" s="84"/>
      <c r="F212" s="122" t="str">
        <f t="shared" si="21"/>
        <v/>
      </c>
      <c r="G212" s="117"/>
      <c r="H212" s="117"/>
      <c r="I212" s="117"/>
      <c r="J212" s="84"/>
      <c r="L212" s="75" t="str">
        <f t="shared" si="22"/>
        <v/>
      </c>
      <c r="M212" s="75" t="str">
        <f t="shared" si="23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9"/>
        <v/>
      </c>
      <c r="D213" s="72" t="str">
        <f t="shared" si="20"/>
        <v/>
      </c>
      <c r="E213" s="84"/>
      <c r="F213" s="122" t="str">
        <f t="shared" si="21"/>
        <v/>
      </c>
      <c r="G213" s="117"/>
      <c r="H213" s="117"/>
      <c r="I213" s="117"/>
      <c r="J213" s="84"/>
      <c r="L213" s="75" t="str">
        <f t="shared" si="22"/>
        <v/>
      </c>
      <c r="M213" s="75" t="str">
        <f t="shared" si="23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9"/>
        <v/>
      </c>
      <c r="D214" s="72" t="str">
        <f t="shared" si="20"/>
        <v/>
      </c>
      <c r="E214" s="84"/>
      <c r="F214" s="122" t="str">
        <f t="shared" si="21"/>
        <v/>
      </c>
      <c r="G214" s="117"/>
      <c r="H214" s="117"/>
      <c r="I214" s="117"/>
      <c r="J214" s="84"/>
      <c r="L214" s="75" t="str">
        <f t="shared" si="22"/>
        <v/>
      </c>
      <c r="M214" s="75" t="str">
        <f t="shared" si="23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9"/>
        <v/>
      </c>
      <c r="D215" s="72" t="str">
        <f t="shared" si="20"/>
        <v/>
      </c>
      <c r="E215" s="84"/>
      <c r="F215" s="122" t="str">
        <f t="shared" si="21"/>
        <v/>
      </c>
      <c r="G215" s="117"/>
      <c r="H215" s="117"/>
      <c r="I215" s="117"/>
      <c r="J215" s="84"/>
      <c r="L215" s="75" t="str">
        <f t="shared" si="22"/>
        <v/>
      </c>
      <c r="M215" s="75" t="str">
        <f t="shared" si="23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9"/>
        <v/>
      </c>
      <c r="D216" s="72" t="str">
        <f t="shared" si="20"/>
        <v/>
      </c>
      <c r="E216" s="84"/>
      <c r="F216" s="122" t="str">
        <f t="shared" si="21"/>
        <v/>
      </c>
      <c r="G216" s="117"/>
      <c r="H216" s="117"/>
      <c r="I216" s="117"/>
      <c r="J216" s="84"/>
      <c r="L216" s="75" t="str">
        <f t="shared" si="22"/>
        <v/>
      </c>
      <c r="M216" s="75" t="str">
        <f t="shared" si="23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9"/>
        <v/>
      </c>
      <c r="D217" s="72" t="str">
        <f t="shared" si="20"/>
        <v/>
      </c>
      <c r="E217" s="84"/>
      <c r="F217" s="122" t="str">
        <f t="shared" si="21"/>
        <v/>
      </c>
      <c r="G217" s="117"/>
      <c r="H217" s="117"/>
      <c r="I217" s="117"/>
      <c r="J217" s="84"/>
      <c r="L217" s="75" t="str">
        <f t="shared" si="22"/>
        <v/>
      </c>
      <c r="M217" s="75" t="str">
        <f t="shared" si="23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9"/>
        <v/>
      </c>
      <c r="D218" s="72" t="str">
        <f t="shared" si="20"/>
        <v/>
      </c>
      <c r="E218" s="84"/>
      <c r="F218" s="122" t="str">
        <f t="shared" si="21"/>
        <v/>
      </c>
      <c r="G218" s="117"/>
      <c r="H218" s="117"/>
      <c r="I218" s="117"/>
      <c r="J218" s="84"/>
      <c r="L218" s="75" t="str">
        <f t="shared" si="22"/>
        <v/>
      </c>
      <c r="M218" s="75" t="str">
        <f t="shared" si="23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9"/>
        <v/>
      </c>
      <c r="D219" s="72" t="str">
        <f t="shared" si="20"/>
        <v/>
      </c>
      <c r="E219" s="84"/>
      <c r="F219" s="122" t="str">
        <f t="shared" si="21"/>
        <v/>
      </c>
      <c r="G219" s="117"/>
      <c r="H219" s="117"/>
      <c r="I219" s="117"/>
      <c r="J219" s="84"/>
      <c r="L219" s="75" t="str">
        <f t="shared" si="22"/>
        <v/>
      </c>
      <c r="M219" s="75" t="str">
        <f t="shared" si="23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9"/>
        <v/>
      </c>
      <c r="D220" s="72" t="str">
        <f t="shared" si="20"/>
        <v/>
      </c>
      <c r="E220" s="84"/>
      <c r="F220" s="122" t="str">
        <f t="shared" si="21"/>
        <v/>
      </c>
      <c r="G220" s="117"/>
      <c r="H220" s="117"/>
      <c r="I220" s="117"/>
      <c r="J220" s="84"/>
      <c r="L220" s="75" t="str">
        <f t="shared" si="22"/>
        <v/>
      </c>
      <c r="M220" s="75" t="str">
        <f t="shared" si="23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9"/>
        <v/>
      </c>
      <c r="D221" s="72" t="str">
        <f t="shared" si="20"/>
        <v/>
      </c>
      <c r="E221" s="84"/>
      <c r="F221" s="122" t="str">
        <f t="shared" si="21"/>
        <v/>
      </c>
      <c r="G221" s="117"/>
      <c r="H221" s="117"/>
      <c r="I221" s="117"/>
      <c r="J221" s="84"/>
      <c r="L221" s="75" t="str">
        <f t="shared" si="22"/>
        <v/>
      </c>
      <c r="M221" s="75" t="str">
        <f t="shared" si="23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9"/>
        <v/>
      </c>
      <c r="D222" s="72" t="str">
        <f t="shared" si="20"/>
        <v/>
      </c>
      <c r="E222" s="84"/>
      <c r="F222" s="122" t="str">
        <f t="shared" si="21"/>
        <v/>
      </c>
      <c r="G222" s="117"/>
      <c r="H222" s="117"/>
      <c r="I222" s="117"/>
      <c r="J222" s="84"/>
      <c r="L222" s="75" t="str">
        <f t="shared" si="22"/>
        <v/>
      </c>
      <c r="M222" s="75" t="str">
        <f t="shared" si="23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9"/>
        <v/>
      </c>
      <c r="D223" s="72" t="str">
        <f t="shared" si="20"/>
        <v/>
      </c>
      <c r="E223" s="84"/>
      <c r="F223" s="122" t="str">
        <f t="shared" si="21"/>
        <v/>
      </c>
      <c r="G223" s="117"/>
      <c r="H223" s="117"/>
      <c r="I223" s="117"/>
      <c r="J223" s="84"/>
      <c r="L223" s="75" t="str">
        <f t="shared" si="22"/>
        <v/>
      </c>
      <c r="M223" s="75" t="str">
        <f t="shared" si="23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9"/>
        <v/>
      </c>
      <c r="D224" s="72" t="str">
        <f t="shared" si="20"/>
        <v/>
      </c>
      <c r="E224" s="84"/>
      <c r="F224" s="122" t="str">
        <f t="shared" si="21"/>
        <v/>
      </c>
      <c r="G224" s="117"/>
      <c r="H224" s="117"/>
      <c r="I224" s="117"/>
      <c r="J224" s="84"/>
      <c r="L224" s="75" t="str">
        <f t="shared" si="22"/>
        <v/>
      </c>
      <c r="M224" s="75" t="str">
        <f t="shared" si="23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9"/>
        <v/>
      </c>
      <c r="D225" s="72" t="str">
        <f t="shared" si="20"/>
        <v/>
      </c>
      <c r="E225" s="84"/>
      <c r="F225" s="122" t="str">
        <f t="shared" si="21"/>
        <v/>
      </c>
      <c r="G225" s="117"/>
      <c r="H225" s="117"/>
      <c r="I225" s="117"/>
      <c r="J225" s="84"/>
      <c r="L225" s="75" t="str">
        <f t="shared" si="22"/>
        <v/>
      </c>
      <c r="M225" s="75" t="str">
        <f t="shared" si="23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9"/>
        <v/>
      </c>
      <c r="D226" s="72" t="str">
        <f t="shared" si="20"/>
        <v/>
      </c>
      <c r="E226" s="84"/>
      <c r="F226" s="122" t="str">
        <f t="shared" si="21"/>
        <v/>
      </c>
      <c r="G226" s="117"/>
      <c r="H226" s="117"/>
      <c r="I226" s="117"/>
      <c r="J226" s="84"/>
      <c r="L226" s="75" t="str">
        <f t="shared" si="22"/>
        <v/>
      </c>
      <c r="M226" s="75" t="str">
        <f t="shared" si="23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9"/>
        <v/>
      </c>
      <c r="D227" s="72" t="str">
        <f t="shared" si="20"/>
        <v/>
      </c>
      <c r="E227" s="84"/>
      <c r="F227" s="122" t="str">
        <f t="shared" si="21"/>
        <v/>
      </c>
      <c r="G227" s="117"/>
      <c r="H227" s="117"/>
      <c r="I227" s="117"/>
      <c r="J227" s="84"/>
      <c r="L227" s="75" t="str">
        <f t="shared" si="22"/>
        <v/>
      </c>
      <c r="M227" s="75" t="str">
        <f t="shared" si="23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9"/>
        <v/>
      </c>
      <c r="D228" s="72" t="str">
        <f t="shared" si="20"/>
        <v/>
      </c>
      <c r="E228" s="84"/>
      <c r="F228" s="122" t="str">
        <f t="shared" si="21"/>
        <v/>
      </c>
      <c r="G228" s="117"/>
      <c r="H228" s="117"/>
      <c r="I228" s="117"/>
      <c r="J228" s="84"/>
      <c r="L228" s="75" t="str">
        <f t="shared" si="22"/>
        <v/>
      </c>
      <c r="M228" s="75" t="str">
        <f t="shared" si="23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9"/>
        <v/>
      </c>
      <c r="D229" s="72" t="str">
        <f t="shared" si="20"/>
        <v/>
      </c>
      <c r="E229" s="84"/>
      <c r="F229" s="122" t="str">
        <f t="shared" si="21"/>
        <v/>
      </c>
      <c r="G229" s="117"/>
      <c r="H229" s="117"/>
      <c r="I229" s="117"/>
      <c r="J229" s="84"/>
      <c r="L229" s="75" t="str">
        <f t="shared" si="22"/>
        <v/>
      </c>
      <c r="M229" s="75" t="str">
        <f t="shared" si="23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9"/>
        <v/>
      </c>
      <c r="D230" s="72" t="str">
        <f t="shared" si="20"/>
        <v/>
      </c>
      <c r="E230" s="84"/>
      <c r="F230" s="122" t="str">
        <f t="shared" si="21"/>
        <v/>
      </c>
      <c r="G230" s="117"/>
      <c r="H230" s="117"/>
      <c r="I230" s="117"/>
      <c r="J230" s="84"/>
      <c r="L230" s="75" t="str">
        <f t="shared" si="22"/>
        <v/>
      </c>
      <c r="M230" s="75" t="str">
        <f t="shared" si="23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9"/>
        <v/>
      </c>
      <c r="D231" s="72" t="str">
        <f t="shared" si="20"/>
        <v/>
      </c>
      <c r="E231" s="84"/>
      <c r="F231" s="122" t="str">
        <f t="shared" si="21"/>
        <v/>
      </c>
      <c r="G231" s="117"/>
      <c r="H231" s="117"/>
      <c r="I231" s="117"/>
      <c r="J231" s="84"/>
      <c r="L231" s="75" t="str">
        <f t="shared" si="22"/>
        <v/>
      </c>
      <c r="M231" s="75" t="str">
        <f t="shared" si="23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9"/>
        <v/>
      </c>
      <c r="D232" s="72" t="str">
        <f t="shared" si="20"/>
        <v/>
      </c>
      <c r="E232" s="84"/>
      <c r="F232" s="122" t="str">
        <f t="shared" si="21"/>
        <v/>
      </c>
      <c r="G232" s="117"/>
      <c r="H232" s="117"/>
      <c r="I232" s="117"/>
      <c r="J232" s="84"/>
      <c r="L232" s="75" t="str">
        <f t="shared" si="22"/>
        <v/>
      </c>
      <c r="M232" s="75" t="str">
        <f t="shared" si="23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9"/>
        <v/>
      </c>
      <c r="D233" s="72" t="str">
        <f t="shared" si="20"/>
        <v/>
      </c>
      <c r="E233" s="84"/>
      <c r="F233" s="122" t="str">
        <f t="shared" si="21"/>
        <v/>
      </c>
      <c r="G233" s="117"/>
      <c r="H233" s="117"/>
      <c r="I233" s="117"/>
      <c r="J233" s="84"/>
      <c r="L233" s="75" t="str">
        <f t="shared" si="22"/>
        <v/>
      </c>
      <c r="M233" s="75" t="str">
        <f t="shared" si="23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9"/>
        <v/>
      </c>
      <c r="D234" s="72" t="str">
        <f t="shared" si="20"/>
        <v/>
      </c>
      <c r="E234" s="84"/>
      <c r="F234" s="122" t="str">
        <f t="shared" si="21"/>
        <v/>
      </c>
      <c r="G234" s="117"/>
      <c r="H234" s="117"/>
      <c r="I234" s="117"/>
      <c r="J234" s="84"/>
      <c r="L234" s="75" t="str">
        <f t="shared" si="22"/>
        <v/>
      </c>
      <c r="M234" s="75" t="str">
        <f t="shared" si="23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9"/>
        <v/>
      </c>
      <c r="D235" s="72" t="str">
        <f t="shared" si="20"/>
        <v/>
      </c>
      <c r="E235" s="84"/>
      <c r="F235" s="122" t="str">
        <f t="shared" si="21"/>
        <v/>
      </c>
      <c r="G235" s="117"/>
      <c r="H235" s="117"/>
      <c r="I235" s="117"/>
      <c r="J235" s="84"/>
      <c r="L235" s="75" t="str">
        <f t="shared" si="22"/>
        <v/>
      </c>
      <c r="M235" s="75" t="str">
        <f t="shared" si="23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9"/>
        <v/>
      </c>
      <c r="D236" s="72" t="str">
        <f t="shared" si="20"/>
        <v/>
      </c>
      <c r="E236" s="84"/>
      <c r="F236" s="122" t="str">
        <f t="shared" si="21"/>
        <v/>
      </c>
      <c r="G236" s="117"/>
      <c r="H236" s="117"/>
      <c r="I236" s="117"/>
      <c r="J236" s="84"/>
      <c r="L236" s="75" t="str">
        <f t="shared" si="22"/>
        <v/>
      </c>
      <c r="M236" s="75" t="str">
        <f t="shared" si="23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9"/>
        <v/>
      </c>
      <c r="D237" s="72" t="str">
        <f t="shared" si="20"/>
        <v/>
      </c>
      <c r="E237" s="84"/>
      <c r="F237" s="122" t="str">
        <f t="shared" si="21"/>
        <v/>
      </c>
      <c r="G237" s="117"/>
      <c r="H237" s="117"/>
      <c r="I237" s="117"/>
      <c r="J237" s="84"/>
      <c r="L237" s="75" t="str">
        <f t="shared" si="22"/>
        <v/>
      </c>
      <c r="M237" s="75" t="str">
        <f t="shared" si="23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9"/>
        <v/>
      </c>
      <c r="D238" s="72" t="str">
        <f t="shared" si="20"/>
        <v/>
      </c>
      <c r="E238" s="84"/>
      <c r="F238" s="122" t="str">
        <f t="shared" si="21"/>
        <v/>
      </c>
      <c r="G238" s="117"/>
      <c r="H238" s="117"/>
      <c r="I238" s="117"/>
      <c r="J238" s="84"/>
      <c r="L238" s="75" t="str">
        <f t="shared" si="22"/>
        <v/>
      </c>
      <c r="M238" s="75" t="str">
        <f t="shared" si="23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9"/>
        <v/>
      </c>
      <c r="D239" s="72" t="str">
        <f t="shared" si="20"/>
        <v/>
      </c>
      <c r="E239" s="84"/>
      <c r="F239" s="122" t="str">
        <f t="shared" si="21"/>
        <v/>
      </c>
      <c r="G239" s="117"/>
      <c r="H239" s="117"/>
      <c r="I239" s="117"/>
      <c r="J239" s="84"/>
      <c r="L239" s="75" t="str">
        <f t="shared" si="22"/>
        <v/>
      </c>
      <c r="M239" s="75" t="str">
        <f t="shared" si="23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9"/>
        <v/>
      </c>
      <c r="D240" s="72" t="str">
        <f t="shared" si="20"/>
        <v/>
      </c>
      <c r="E240" s="84"/>
      <c r="F240" s="122" t="str">
        <f t="shared" si="21"/>
        <v/>
      </c>
      <c r="G240" s="117"/>
      <c r="H240" s="117"/>
      <c r="I240" s="117"/>
      <c r="J240" s="84"/>
      <c r="L240" s="75" t="str">
        <f t="shared" si="22"/>
        <v/>
      </c>
      <c r="M240" s="75" t="str">
        <f t="shared" si="23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9"/>
        <v/>
      </c>
      <c r="D241" s="72" t="str">
        <f t="shared" si="20"/>
        <v/>
      </c>
      <c r="E241" s="84"/>
      <c r="F241" s="122" t="str">
        <f t="shared" si="21"/>
        <v/>
      </c>
      <c r="G241" s="117"/>
      <c r="H241" s="117"/>
      <c r="I241" s="117"/>
      <c r="J241" s="84"/>
      <c r="L241" s="75" t="str">
        <f t="shared" si="22"/>
        <v/>
      </c>
      <c r="M241" s="75" t="str">
        <f t="shared" si="23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9"/>
        <v/>
      </c>
      <c r="D242" s="72" t="str">
        <f t="shared" si="20"/>
        <v/>
      </c>
      <c r="E242" s="84"/>
      <c r="F242" s="122" t="str">
        <f t="shared" si="21"/>
        <v/>
      </c>
      <c r="G242" s="117"/>
      <c r="H242" s="117"/>
      <c r="I242" s="117"/>
      <c r="J242" s="84"/>
      <c r="L242" s="75" t="str">
        <f t="shared" si="22"/>
        <v/>
      </c>
      <c r="M242" s="75" t="str">
        <f t="shared" si="23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9"/>
        <v/>
      </c>
      <c r="D243" s="72" t="str">
        <f t="shared" si="20"/>
        <v/>
      </c>
      <c r="E243" s="84"/>
      <c r="F243" s="122" t="str">
        <f t="shared" si="21"/>
        <v/>
      </c>
      <c r="G243" s="117"/>
      <c r="H243" s="117"/>
      <c r="I243" s="117"/>
      <c r="J243" s="84"/>
      <c r="L243" s="75" t="str">
        <f t="shared" si="22"/>
        <v/>
      </c>
      <c r="M243" s="75" t="str">
        <f t="shared" si="23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9"/>
        <v/>
      </c>
      <c r="D244" s="72" t="str">
        <f t="shared" si="20"/>
        <v/>
      </c>
      <c r="E244" s="84"/>
      <c r="F244" s="122" t="str">
        <f t="shared" si="21"/>
        <v/>
      </c>
      <c r="G244" s="117"/>
      <c r="H244" s="117"/>
      <c r="I244" s="117"/>
      <c r="J244" s="84"/>
      <c r="L244" s="75" t="str">
        <f t="shared" si="22"/>
        <v/>
      </c>
      <c r="M244" s="75" t="str">
        <f t="shared" si="23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9"/>
        <v/>
      </c>
      <c r="D245" s="72" t="str">
        <f t="shared" si="20"/>
        <v/>
      </c>
      <c r="E245" s="84"/>
      <c r="F245" s="122" t="str">
        <f t="shared" si="21"/>
        <v/>
      </c>
      <c r="G245" s="117"/>
      <c r="H245" s="117"/>
      <c r="I245" s="117"/>
      <c r="J245" s="84"/>
      <c r="L245" s="75" t="str">
        <f t="shared" si="22"/>
        <v/>
      </c>
      <c r="M245" s="75" t="str">
        <f t="shared" si="23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9"/>
        <v/>
      </c>
      <c r="D246" s="72" t="str">
        <f t="shared" si="20"/>
        <v/>
      </c>
      <c r="E246" s="84"/>
      <c r="F246" s="122" t="str">
        <f t="shared" si="21"/>
        <v/>
      </c>
      <c r="G246" s="117"/>
      <c r="H246" s="117"/>
      <c r="I246" s="117"/>
      <c r="J246" s="84"/>
      <c r="L246" s="75" t="str">
        <f t="shared" si="22"/>
        <v/>
      </c>
      <c r="M246" s="75" t="str">
        <f t="shared" si="23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9"/>
        <v/>
      </c>
      <c r="D247" s="72" t="str">
        <f t="shared" si="20"/>
        <v/>
      </c>
      <c r="E247" s="84"/>
      <c r="F247" s="122" t="str">
        <f t="shared" si="21"/>
        <v/>
      </c>
      <c r="G247" s="117"/>
      <c r="H247" s="117"/>
      <c r="I247" s="117"/>
      <c r="J247" s="84"/>
      <c r="L247" s="75" t="str">
        <f t="shared" si="22"/>
        <v/>
      </c>
      <c r="M247" s="75" t="str">
        <f t="shared" si="23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9"/>
        <v/>
      </c>
      <c r="D248" s="72" t="str">
        <f t="shared" si="20"/>
        <v/>
      </c>
      <c r="E248" s="84"/>
      <c r="F248" s="122" t="str">
        <f t="shared" si="21"/>
        <v/>
      </c>
      <c r="G248" s="117"/>
      <c r="H248" s="117"/>
      <c r="I248" s="117"/>
      <c r="J248" s="84"/>
      <c r="L248" s="75" t="str">
        <f t="shared" si="22"/>
        <v/>
      </c>
      <c r="M248" s="75" t="str">
        <f t="shared" si="23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9"/>
        <v/>
      </c>
      <c r="D249" s="72" t="str">
        <f t="shared" si="20"/>
        <v/>
      </c>
      <c r="E249" s="84"/>
      <c r="F249" s="122" t="str">
        <f t="shared" si="21"/>
        <v/>
      </c>
      <c r="G249" s="117"/>
      <c r="H249" s="117"/>
      <c r="I249" s="117"/>
      <c r="J249" s="84"/>
      <c r="L249" s="75" t="str">
        <f t="shared" si="22"/>
        <v/>
      </c>
      <c r="M249" s="75" t="str">
        <f t="shared" si="23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9"/>
        <v/>
      </c>
      <c r="D250" s="72" t="str">
        <f t="shared" si="20"/>
        <v/>
      </c>
      <c r="E250" s="84"/>
      <c r="F250" s="122" t="str">
        <f t="shared" si="21"/>
        <v/>
      </c>
      <c r="G250" s="117"/>
      <c r="H250" s="117"/>
      <c r="I250" s="117"/>
      <c r="J250" s="84"/>
      <c r="L250" s="75" t="str">
        <f t="shared" si="22"/>
        <v/>
      </c>
      <c r="M250" s="75" t="str">
        <f t="shared" si="23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9"/>
        <v/>
      </c>
      <c r="D251" s="72" t="str">
        <f t="shared" si="20"/>
        <v/>
      </c>
      <c r="E251" s="84"/>
      <c r="F251" s="122" t="str">
        <f t="shared" si="21"/>
        <v/>
      </c>
      <c r="G251" s="117"/>
      <c r="H251" s="117"/>
      <c r="I251" s="117"/>
      <c r="J251" s="84"/>
      <c r="L251" s="75" t="str">
        <f t="shared" si="22"/>
        <v/>
      </c>
      <c r="M251" s="75" t="str">
        <f t="shared" si="23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9"/>
        <v/>
      </c>
      <c r="D252" s="72" t="str">
        <f t="shared" si="20"/>
        <v/>
      </c>
      <c r="E252" s="84"/>
      <c r="F252" s="122" t="str">
        <f t="shared" si="21"/>
        <v/>
      </c>
      <c r="G252" s="117"/>
      <c r="H252" s="117"/>
      <c r="I252" s="117"/>
      <c r="J252" s="84"/>
      <c r="L252" s="75" t="str">
        <f t="shared" si="22"/>
        <v/>
      </c>
      <c r="M252" s="75" t="str">
        <f t="shared" si="23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9"/>
        <v/>
      </c>
      <c r="D253" s="72" t="str">
        <f t="shared" si="20"/>
        <v/>
      </c>
      <c r="E253" s="84"/>
      <c r="F253" s="122" t="str">
        <f t="shared" si="21"/>
        <v/>
      </c>
      <c r="G253" s="117"/>
      <c r="H253" s="117"/>
      <c r="I253" s="117"/>
      <c r="J253" s="84"/>
      <c r="L253" s="75" t="str">
        <f t="shared" si="22"/>
        <v/>
      </c>
      <c r="M253" s="75" t="str">
        <f t="shared" si="23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9"/>
        <v/>
      </c>
      <c r="D254" s="72" t="str">
        <f t="shared" si="20"/>
        <v/>
      </c>
      <c r="E254" s="84"/>
      <c r="F254" s="122" t="str">
        <f t="shared" si="21"/>
        <v/>
      </c>
      <c r="G254" s="117"/>
      <c r="H254" s="117"/>
      <c r="I254" s="117"/>
      <c r="J254" s="84"/>
      <c r="L254" s="75" t="str">
        <f t="shared" si="22"/>
        <v/>
      </c>
      <c r="M254" s="75" t="str">
        <f t="shared" si="23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9"/>
        <v/>
      </c>
      <c r="D255" s="72" t="str">
        <f t="shared" si="20"/>
        <v/>
      </c>
      <c r="E255" s="84"/>
      <c r="F255" s="122" t="str">
        <f t="shared" si="21"/>
        <v/>
      </c>
      <c r="G255" s="117"/>
      <c r="H255" s="117"/>
      <c r="I255" s="117"/>
      <c r="J255" s="84"/>
      <c r="L255" s="75" t="str">
        <f t="shared" si="22"/>
        <v/>
      </c>
      <c r="M255" s="75" t="str">
        <f t="shared" si="23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9"/>
        <v/>
      </c>
      <c r="D256" s="72" t="str">
        <f t="shared" si="20"/>
        <v/>
      </c>
      <c r="E256" s="84"/>
      <c r="F256" s="122" t="str">
        <f t="shared" si="21"/>
        <v/>
      </c>
      <c r="G256" s="117"/>
      <c r="H256" s="117"/>
      <c r="I256" s="117"/>
      <c r="J256" s="84"/>
      <c r="L256" s="75" t="str">
        <f t="shared" si="22"/>
        <v/>
      </c>
      <c r="M256" s="75" t="str">
        <f t="shared" si="23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9"/>
        <v/>
      </c>
      <c r="D257" s="72" t="str">
        <f t="shared" si="20"/>
        <v/>
      </c>
      <c r="E257" s="84"/>
      <c r="F257" s="122" t="str">
        <f t="shared" si="21"/>
        <v/>
      </c>
      <c r="G257" s="117"/>
      <c r="H257" s="117"/>
      <c r="I257" s="117"/>
      <c r="J257" s="84"/>
      <c r="L257" s="75" t="str">
        <f t="shared" si="22"/>
        <v/>
      </c>
      <c r="M257" s="75" t="str">
        <f t="shared" si="23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9"/>
        <v/>
      </c>
      <c r="D258" s="72" t="str">
        <f t="shared" si="20"/>
        <v/>
      </c>
      <c r="E258" s="84"/>
      <c r="F258" s="122" t="str">
        <f t="shared" si="21"/>
        <v/>
      </c>
      <c r="G258" s="117"/>
      <c r="H258" s="117"/>
      <c r="I258" s="117"/>
      <c r="J258" s="84"/>
      <c r="L258" s="75" t="str">
        <f t="shared" si="22"/>
        <v/>
      </c>
      <c r="M258" s="75" t="str">
        <f t="shared" si="23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19"/>
        <v/>
      </c>
      <c r="D259" s="72" t="str">
        <f t="shared" si="20"/>
        <v/>
      </c>
      <c r="E259" s="84"/>
      <c r="F259" s="122" t="str">
        <f t="shared" si="21"/>
        <v/>
      </c>
      <c r="G259" s="117"/>
      <c r="H259" s="117"/>
      <c r="I259" s="117"/>
      <c r="J259" s="84"/>
      <c r="L259" s="75" t="str">
        <f t="shared" si="22"/>
        <v/>
      </c>
      <c r="M259" s="75" t="str">
        <f t="shared" si="23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ref="C260:C323" si="24">IFERROR(VLOOKUP(E260,$R$6:$U$114,3,FALSE),"")</f>
        <v/>
      </c>
      <c r="D260" s="72" t="str">
        <f t="shared" ref="D260:D323" si="25">IFERROR(VLOOKUP(E260,$R$6:$U$114,4,FALSE),"")</f>
        <v/>
      </c>
      <c r="E260" s="84"/>
      <c r="F260" s="122" t="str">
        <f t="shared" ref="F260:F323" si="26">IFERROR(VLOOKUP(E260,$R$6:$U$114,2,FALSE),"")</f>
        <v/>
      </c>
      <c r="G260" s="117"/>
      <c r="H260" s="117"/>
      <c r="I260" s="117"/>
      <c r="J260" s="84"/>
      <c r="L260" s="75" t="str">
        <f t="shared" si="22"/>
        <v/>
      </c>
      <c r="M260" s="75" t="str">
        <f t="shared" si="23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4"/>
        <v/>
      </c>
      <c r="D261" s="72" t="str">
        <f t="shared" si="25"/>
        <v/>
      </c>
      <c r="E261" s="84"/>
      <c r="F261" s="122" t="str">
        <f t="shared" si="26"/>
        <v/>
      </c>
      <c r="G261" s="117"/>
      <c r="H261" s="117"/>
      <c r="I261" s="117"/>
      <c r="J261" s="84"/>
      <c r="L261" s="75" t="str">
        <f t="shared" ref="L261:L324" si="27">LEFT(E261,2)</f>
        <v/>
      </c>
      <c r="M261" s="75" t="str">
        <f t="shared" ref="M261:M324" si="28">LEFT(E261,3)</f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4"/>
        <v/>
      </c>
      <c r="D262" s="72" t="str">
        <f t="shared" si="25"/>
        <v/>
      </c>
      <c r="E262" s="84"/>
      <c r="F262" s="122" t="str">
        <f t="shared" si="26"/>
        <v/>
      </c>
      <c r="G262" s="117"/>
      <c r="H262" s="117"/>
      <c r="I262" s="117"/>
      <c r="J262" s="84"/>
      <c r="L262" s="75" t="str">
        <f t="shared" si="27"/>
        <v/>
      </c>
      <c r="M262" s="75" t="str">
        <f t="shared" si="28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4"/>
        <v/>
      </c>
      <c r="D263" s="72" t="str">
        <f t="shared" si="25"/>
        <v/>
      </c>
      <c r="E263" s="84"/>
      <c r="F263" s="122" t="str">
        <f t="shared" si="26"/>
        <v/>
      </c>
      <c r="G263" s="117"/>
      <c r="H263" s="117"/>
      <c r="I263" s="117"/>
      <c r="J263" s="84"/>
      <c r="L263" s="75" t="str">
        <f t="shared" si="27"/>
        <v/>
      </c>
      <c r="M263" s="75" t="str">
        <f t="shared" si="28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4"/>
        <v/>
      </c>
      <c r="D264" s="72" t="str">
        <f t="shared" si="25"/>
        <v/>
      </c>
      <c r="E264" s="84"/>
      <c r="F264" s="122" t="str">
        <f t="shared" si="26"/>
        <v/>
      </c>
      <c r="G264" s="117"/>
      <c r="H264" s="117"/>
      <c r="I264" s="117"/>
      <c r="J264" s="84"/>
      <c r="L264" s="75" t="str">
        <f t="shared" si="27"/>
        <v/>
      </c>
      <c r="M264" s="75" t="str">
        <f t="shared" si="28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4"/>
        <v/>
      </c>
      <c r="D265" s="72" t="str">
        <f t="shared" si="25"/>
        <v/>
      </c>
      <c r="E265" s="84"/>
      <c r="F265" s="122" t="str">
        <f t="shared" si="26"/>
        <v/>
      </c>
      <c r="G265" s="117"/>
      <c r="H265" s="117"/>
      <c r="I265" s="117"/>
      <c r="J265" s="84"/>
      <c r="L265" s="75" t="str">
        <f t="shared" si="27"/>
        <v/>
      </c>
      <c r="M265" s="75" t="str">
        <f t="shared" si="28"/>
        <v/>
      </c>
    </row>
    <row r="266" spans="1:13">
      <c r="A266" s="337"/>
      <c r="B266" s="73"/>
      <c r="C266" s="119"/>
      <c r="D266" s="72"/>
      <c r="E266" s="84"/>
      <c r="F266" s="122" t="str">
        <f t="shared" si="26"/>
        <v/>
      </c>
      <c r="G266" s="117"/>
      <c r="H266" s="117"/>
      <c r="I266" s="117"/>
      <c r="J266" s="84"/>
      <c r="L266" s="75" t="str">
        <f t="shared" si="27"/>
        <v/>
      </c>
      <c r="M266" s="75" t="str">
        <f t="shared" si="28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4"/>
        <v/>
      </c>
      <c r="D267" s="72" t="str">
        <f t="shared" si="25"/>
        <v/>
      </c>
      <c r="E267" s="84"/>
      <c r="F267" s="122" t="str">
        <f t="shared" si="26"/>
        <v/>
      </c>
      <c r="G267" s="117"/>
      <c r="H267" s="117"/>
      <c r="I267" s="117"/>
      <c r="J267" s="84"/>
      <c r="L267" s="75" t="str">
        <f t="shared" si="27"/>
        <v/>
      </c>
      <c r="M267" s="75" t="str">
        <f t="shared" si="28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4"/>
        <v/>
      </c>
      <c r="D268" s="72" t="str">
        <f t="shared" si="25"/>
        <v/>
      </c>
      <c r="E268" s="84"/>
      <c r="F268" s="122" t="str">
        <f t="shared" si="26"/>
        <v/>
      </c>
      <c r="G268" s="117"/>
      <c r="H268" s="117"/>
      <c r="I268" s="117"/>
      <c r="J268" s="84"/>
      <c r="L268" s="75" t="str">
        <f t="shared" si="27"/>
        <v/>
      </c>
      <c r="M268" s="75" t="str">
        <f t="shared" si="28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4"/>
        <v/>
      </c>
      <c r="D269" s="72" t="str">
        <f t="shared" si="25"/>
        <v/>
      </c>
      <c r="E269" s="84"/>
      <c r="F269" s="122" t="str">
        <f t="shared" si="26"/>
        <v/>
      </c>
      <c r="G269" s="117"/>
      <c r="H269" s="117"/>
      <c r="I269" s="117"/>
      <c r="J269" s="84"/>
      <c r="L269" s="75" t="str">
        <f t="shared" si="27"/>
        <v/>
      </c>
      <c r="M269" s="75" t="str">
        <f t="shared" si="28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4"/>
        <v/>
      </c>
      <c r="D270" s="72" t="str">
        <f t="shared" si="25"/>
        <v/>
      </c>
      <c r="E270" s="84"/>
      <c r="F270" s="122" t="str">
        <f t="shared" si="26"/>
        <v/>
      </c>
      <c r="G270" s="117"/>
      <c r="H270" s="117"/>
      <c r="I270" s="117"/>
      <c r="J270" s="84"/>
      <c r="L270" s="75" t="str">
        <f t="shared" si="27"/>
        <v/>
      </c>
      <c r="M270" s="75" t="str">
        <f t="shared" si="28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4"/>
        <v/>
      </c>
      <c r="D271" s="72" t="str">
        <f t="shared" si="25"/>
        <v/>
      </c>
      <c r="E271" s="84"/>
      <c r="F271" s="122" t="str">
        <f t="shared" si="26"/>
        <v/>
      </c>
      <c r="G271" s="117"/>
      <c r="H271" s="117"/>
      <c r="I271" s="117"/>
      <c r="J271" s="84"/>
      <c r="L271" s="75" t="str">
        <f t="shared" si="27"/>
        <v/>
      </c>
      <c r="M271" s="75" t="str">
        <f t="shared" si="28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4"/>
        <v/>
      </c>
      <c r="D272" s="72" t="str">
        <f t="shared" si="25"/>
        <v/>
      </c>
      <c r="E272" s="84"/>
      <c r="F272" s="122" t="str">
        <f t="shared" si="26"/>
        <v/>
      </c>
      <c r="G272" s="117"/>
      <c r="H272" s="117"/>
      <c r="I272" s="117"/>
      <c r="J272" s="84"/>
      <c r="L272" s="75" t="str">
        <f t="shared" si="27"/>
        <v/>
      </c>
      <c r="M272" s="75" t="str">
        <f t="shared" si="28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4"/>
        <v/>
      </c>
      <c r="D273" s="72" t="str">
        <f t="shared" si="25"/>
        <v/>
      </c>
      <c r="E273" s="84"/>
      <c r="F273" s="122" t="str">
        <f t="shared" si="26"/>
        <v/>
      </c>
      <c r="G273" s="117"/>
      <c r="H273" s="117"/>
      <c r="I273" s="117"/>
      <c r="J273" s="84"/>
      <c r="L273" s="75" t="str">
        <f t="shared" si="27"/>
        <v/>
      </c>
      <c r="M273" s="75" t="str">
        <f t="shared" si="28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4"/>
        <v/>
      </c>
      <c r="D274" s="72" t="str">
        <f t="shared" si="25"/>
        <v/>
      </c>
      <c r="E274" s="84"/>
      <c r="F274" s="122" t="str">
        <f t="shared" si="26"/>
        <v/>
      </c>
      <c r="G274" s="117"/>
      <c r="H274" s="117"/>
      <c r="I274" s="117"/>
      <c r="J274" s="84"/>
      <c r="L274" s="75" t="str">
        <f t="shared" si="27"/>
        <v/>
      </c>
      <c r="M274" s="75" t="str">
        <f t="shared" si="28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4"/>
        <v/>
      </c>
      <c r="D275" s="72" t="str">
        <f t="shared" si="25"/>
        <v/>
      </c>
      <c r="E275" s="84"/>
      <c r="F275" s="122" t="str">
        <f t="shared" si="26"/>
        <v/>
      </c>
      <c r="G275" s="117"/>
      <c r="H275" s="117"/>
      <c r="I275" s="117"/>
      <c r="J275" s="84"/>
      <c r="L275" s="75" t="str">
        <f t="shared" si="27"/>
        <v/>
      </c>
      <c r="M275" s="75" t="str">
        <f t="shared" si="28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4"/>
        <v/>
      </c>
      <c r="D276" s="72" t="str">
        <f t="shared" si="25"/>
        <v/>
      </c>
      <c r="E276" s="84"/>
      <c r="F276" s="122" t="str">
        <f t="shared" si="26"/>
        <v/>
      </c>
      <c r="G276" s="117"/>
      <c r="H276" s="117"/>
      <c r="I276" s="117"/>
      <c r="J276" s="84"/>
      <c r="L276" s="75" t="str">
        <f t="shared" si="27"/>
        <v/>
      </c>
      <c r="M276" s="75" t="str">
        <f t="shared" si="28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4"/>
        <v/>
      </c>
      <c r="D277" s="72" t="str">
        <f t="shared" si="25"/>
        <v/>
      </c>
      <c r="E277" s="84"/>
      <c r="F277" s="122" t="str">
        <f t="shared" si="26"/>
        <v/>
      </c>
      <c r="G277" s="117"/>
      <c r="H277" s="117"/>
      <c r="I277" s="117"/>
      <c r="J277" s="84"/>
      <c r="L277" s="75" t="str">
        <f t="shared" si="27"/>
        <v/>
      </c>
      <c r="M277" s="75" t="str">
        <f t="shared" si="28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4"/>
        <v/>
      </c>
      <c r="D278" s="72" t="str">
        <f t="shared" si="25"/>
        <v/>
      </c>
      <c r="E278" s="84"/>
      <c r="F278" s="122" t="str">
        <f t="shared" si="26"/>
        <v/>
      </c>
      <c r="G278" s="117"/>
      <c r="H278" s="117"/>
      <c r="I278" s="117"/>
      <c r="J278" s="84"/>
      <c r="L278" s="75" t="str">
        <f t="shared" si="27"/>
        <v/>
      </c>
      <c r="M278" s="75" t="str">
        <f t="shared" si="28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4"/>
        <v/>
      </c>
      <c r="D279" s="72" t="str">
        <f t="shared" si="25"/>
        <v/>
      </c>
      <c r="E279" s="84"/>
      <c r="F279" s="122" t="str">
        <f t="shared" si="26"/>
        <v/>
      </c>
      <c r="G279" s="117"/>
      <c r="H279" s="117"/>
      <c r="I279" s="117"/>
      <c r="J279" s="84"/>
      <c r="L279" s="75" t="str">
        <f t="shared" si="27"/>
        <v/>
      </c>
      <c r="M279" s="75" t="str">
        <f t="shared" si="28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4"/>
        <v/>
      </c>
      <c r="D280" s="72" t="str">
        <f t="shared" si="25"/>
        <v/>
      </c>
      <c r="E280" s="84"/>
      <c r="F280" s="122" t="str">
        <f t="shared" si="26"/>
        <v/>
      </c>
      <c r="G280" s="117"/>
      <c r="H280" s="117"/>
      <c r="I280" s="117"/>
      <c r="J280" s="84"/>
      <c r="L280" s="75" t="str">
        <f t="shared" si="27"/>
        <v/>
      </c>
      <c r="M280" s="75" t="str">
        <f t="shared" si="28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4"/>
        <v/>
      </c>
      <c r="D281" s="72" t="str">
        <f t="shared" si="25"/>
        <v/>
      </c>
      <c r="E281" s="84"/>
      <c r="F281" s="122" t="str">
        <f t="shared" si="26"/>
        <v/>
      </c>
      <c r="G281" s="117"/>
      <c r="H281" s="117"/>
      <c r="I281" s="117"/>
      <c r="J281" s="84"/>
      <c r="L281" s="75" t="str">
        <f t="shared" si="27"/>
        <v/>
      </c>
      <c r="M281" s="75" t="str">
        <f t="shared" si="28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4"/>
        <v/>
      </c>
      <c r="D282" s="72" t="str">
        <f t="shared" si="25"/>
        <v/>
      </c>
      <c r="E282" s="84"/>
      <c r="F282" s="122" t="str">
        <f t="shared" si="26"/>
        <v/>
      </c>
      <c r="G282" s="117"/>
      <c r="H282" s="117"/>
      <c r="I282" s="117"/>
      <c r="J282" s="84"/>
      <c r="L282" s="75" t="str">
        <f t="shared" si="27"/>
        <v/>
      </c>
      <c r="M282" s="75" t="str">
        <f t="shared" si="28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4"/>
        <v/>
      </c>
      <c r="D283" s="72" t="str">
        <f t="shared" si="25"/>
        <v/>
      </c>
      <c r="E283" s="84"/>
      <c r="F283" s="122" t="str">
        <f t="shared" si="26"/>
        <v/>
      </c>
      <c r="G283" s="117"/>
      <c r="H283" s="117"/>
      <c r="I283" s="117"/>
      <c r="J283" s="84"/>
      <c r="L283" s="75" t="str">
        <f t="shared" si="27"/>
        <v/>
      </c>
      <c r="M283" s="75" t="str">
        <f t="shared" si="28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4"/>
        <v/>
      </c>
      <c r="D284" s="72" t="str">
        <f t="shared" si="25"/>
        <v/>
      </c>
      <c r="E284" s="84"/>
      <c r="F284" s="122" t="str">
        <f t="shared" si="26"/>
        <v/>
      </c>
      <c r="G284" s="117"/>
      <c r="H284" s="117"/>
      <c r="I284" s="117"/>
      <c r="J284" s="84"/>
      <c r="L284" s="75" t="str">
        <f t="shared" si="27"/>
        <v/>
      </c>
      <c r="M284" s="75" t="str">
        <f t="shared" si="28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4"/>
        <v/>
      </c>
      <c r="D285" s="72" t="str">
        <f t="shared" si="25"/>
        <v/>
      </c>
      <c r="E285" s="84"/>
      <c r="F285" s="122" t="str">
        <f t="shared" si="26"/>
        <v/>
      </c>
      <c r="G285" s="117"/>
      <c r="H285" s="117"/>
      <c r="I285" s="117"/>
      <c r="J285" s="84"/>
      <c r="L285" s="75" t="str">
        <f t="shared" si="27"/>
        <v/>
      </c>
      <c r="M285" s="75" t="str">
        <f t="shared" si="28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4"/>
        <v/>
      </c>
      <c r="D286" s="72" t="str">
        <f t="shared" si="25"/>
        <v/>
      </c>
      <c r="E286" s="84"/>
      <c r="F286" s="122" t="str">
        <f t="shared" si="26"/>
        <v/>
      </c>
      <c r="G286" s="117"/>
      <c r="H286" s="117"/>
      <c r="I286" s="117"/>
      <c r="J286" s="84"/>
      <c r="L286" s="75" t="str">
        <f t="shared" si="27"/>
        <v/>
      </c>
      <c r="M286" s="75" t="str">
        <f t="shared" si="28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4"/>
        <v/>
      </c>
      <c r="D287" s="72" t="str">
        <f t="shared" si="25"/>
        <v/>
      </c>
      <c r="E287" s="84"/>
      <c r="F287" s="122" t="str">
        <f t="shared" si="26"/>
        <v/>
      </c>
      <c r="G287" s="117"/>
      <c r="H287" s="117"/>
      <c r="I287" s="117"/>
      <c r="J287" s="84"/>
      <c r="L287" s="75" t="str">
        <f t="shared" si="27"/>
        <v/>
      </c>
      <c r="M287" s="75" t="str">
        <f t="shared" si="28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4"/>
        <v/>
      </c>
      <c r="D288" s="72" t="str">
        <f t="shared" si="25"/>
        <v/>
      </c>
      <c r="E288" s="84"/>
      <c r="F288" s="122" t="str">
        <f t="shared" si="26"/>
        <v/>
      </c>
      <c r="G288" s="117"/>
      <c r="H288" s="117"/>
      <c r="I288" s="117"/>
      <c r="J288" s="84"/>
      <c r="L288" s="75" t="str">
        <f t="shared" si="27"/>
        <v/>
      </c>
      <c r="M288" s="75" t="str">
        <f t="shared" si="28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4"/>
        <v/>
      </c>
      <c r="D289" s="72" t="str">
        <f t="shared" si="25"/>
        <v/>
      </c>
      <c r="E289" s="84"/>
      <c r="F289" s="122" t="str">
        <f t="shared" si="26"/>
        <v/>
      </c>
      <c r="G289" s="117"/>
      <c r="H289" s="117"/>
      <c r="I289" s="117"/>
      <c r="J289" s="84"/>
      <c r="L289" s="75" t="str">
        <f t="shared" si="27"/>
        <v/>
      </c>
      <c r="M289" s="75" t="str">
        <f t="shared" si="28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4"/>
        <v/>
      </c>
      <c r="D290" s="72" t="str">
        <f t="shared" si="25"/>
        <v/>
      </c>
      <c r="E290" s="84"/>
      <c r="F290" s="122" t="str">
        <f t="shared" si="26"/>
        <v/>
      </c>
      <c r="G290" s="117"/>
      <c r="H290" s="117"/>
      <c r="I290" s="117"/>
      <c r="J290" s="84"/>
      <c r="L290" s="75" t="str">
        <f t="shared" si="27"/>
        <v/>
      </c>
      <c r="M290" s="75" t="str">
        <f t="shared" si="28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4"/>
        <v/>
      </c>
      <c r="D291" s="72" t="str">
        <f t="shared" si="25"/>
        <v/>
      </c>
      <c r="E291" s="84"/>
      <c r="F291" s="122" t="str">
        <f t="shared" si="26"/>
        <v/>
      </c>
      <c r="G291" s="117"/>
      <c r="H291" s="117"/>
      <c r="I291" s="117"/>
      <c r="J291" s="84"/>
      <c r="L291" s="75" t="str">
        <f t="shared" si="27"/>
        <v/>
      </c>
      <c r="M291" s="75" t="str">
        <f t="shared" si="28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4"/>
        <v/>
      </c>
      <c r="D292" s="72" t="str">
        <f t="shared" si="25"/>
        <v/>
      </c>
      <c r="E292" s="84"/>
      <c r="F292" s="122" t="str">
        <f t="shared" si="26"/>
        <v/>
      </c>
      <c r="G292" s="117"/>
      <c r="H292" s="117"/>
      <c r="I292" s="117"/>
      <c r="J292" s="84"/>
      <c r="L292" s="75" t="str">
        <f t="shared" si="27"/>
        <v/>
      </c>
      <c r="M292" s="75" t="str">
        <f t="shared" si="28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4"/>
        <v/>
      </c>
      <c r="D293" s="72" t="str">
        <f t="shared" si="25"/>
        <v/>
      </c>
      <c r="E293" s="84"/>
      <c r="F293" s="122" t="str">
        <f t="shared" si="26"/>
        <v/>
      </c>
      <c r="G293" s="117"/>
      <c r="H293" s="117"/>
      <c r="I293" s="117"/>
      <c r="J293" s="84"/>
      <c r="L293" s="75" t="str">
        <f t="shared" si="27"/>
        <v/>
      </c>
      <c r="M293" s="75" t="str">
        <f t="shared" si="28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4"/>
        <v/>
      </c>
      <c r="D294" s="72" t="str">
        <f t="shared" si="25"/>
        <v/>
      </c>
      <c r="E294" s="84"/>
      <c r="F294" s="122" t="str">
        <f t="shared" si="26"/>
        <v/>
      </c>
      <c r="G294" s="117"/>
      <c r="H294" s="117"/>
      <c r="I294" s="117"/>
      <c r="J294" s="84"/>
      <c r="L294" s="75" t="str">
        <f t="shared" si="27"/>
        <v/>
      </c>
      <c r="M294" s="75" t="str">
        <f t="shared" si="28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4"/>
        <v/>
      </c>
      <c r="D295" s="72" t="str">
        <f t="shared" si="25"/>
        <v/>
      </c>
      <c r="E295" s="84"/>
      <c r="F295" s="122" t="str">
        <f t="shared" si="26"/>
        <v/>
      </c>
      <c r="G295" s="117"/>
      <c r="H295" s="117"/>
      <c r="I295" s="117"/>
      <c r="J295" s="84"/>
      <c r="L295" s="75" t="str">
        <f t="shared" si="27"/>
        <v/>
      </c>
      <c r="M295" s="75" t="str">
        <f t="shared" si="28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4"/>
        <v/>
      </c>
      <c r="D296" s="72" t="str">
        <f t="shared" si="25"/>
        <v/>
      </c>
      <c r="E296" s="84"/>
      <c r="F296" s="122" t="str">
        <f t="shared" si="26"/>
        <v/>
      </c>
      <c r="G296" s="117"/>
      <c r="H296" s="117"/>
      <c r="I296" s="117"/>
      <c r="J296" s="84"/>
      <c r="L296" s="75" t="str">
        <f t="shared" si="27"/>
        <v/>
      </c>
      <c r="M296" s="75" t="str">
        <f t="shared" si="28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4"/>
        <v/>
      </c>
      <c r="D297" s="72" t="str">
        <f t="shared" si="25"/>
        <v/>
      </c>
      <c r="E297" s="84"/>
      <c r="F297" s="122" t="str">
        <f t="shared" si="26"/>
        <v/>
      </c>
      <c r="G297" s="117"/>
      <c r="H297" s="117"/>
      <c r="I297" s="117"/>
      <c r="J297" s="84"/>
      <c r="L297" s="75" t="str">
        <f t="shared" si="27"/>
        <v/>
      </c>
      <c r="M297" s="75" t="str">
        <f t="shared" si="28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4"/>
        <v/>
      </c>
      <c r="D298" s="72" t="str">
        <f t="shared" si="25"/>
        <v/>
      </c>
      <c r="E298" s="84"/>
      <c r="F298" s="122" t="str">
        <f t="shared" si="26"/>
        <v/>
      </c>
      <c r="G298" s="117"/>
      <c r="H298" s="117"/>
      <c r="I298" s="117"/>
      <c r="J298" s="84"/>
      <c r="L298" s="75" t="str">
        <f t="shared" si="27"/>
        <v/>
      </c>
      <c r="M298" s="75" t="str">
        <f t="shared" si="28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4"/>
        <v/>
      </c>
      <c r="D299" s="72" t="str">
        <f t="shared" si="25"/>
        <v/>
      </c>
      <c r="E299" s="84"/>
      <c r="F299" s="122" t="str">
        <f t="shared" si="26"/>
        <v/>
      </c>
      <c r="G299" s="117"/>
      <c r="H299" s="117"/>
      <c r="I299" s="117"/>
      <c r="J299" s="84"/>
      <c r="L299" s="75" t="str">
        <f t="shared" si="27"/>
        <v/>
      </c>
      <c r="M299" s="75" t="str">
        <f t="shared" si="28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4"/>
        <v/>
      </c>
      <c r="D300" s="72" t="str">
        <f t="shared" si="25"/>
        <v/>
      </c>
      <c r="E300" s="84"/>
      <c r="F300" s="122" t="str">
        <f t="shared" si="26"/>
        <v/>
      </c>
      <c r="G300" s="117"/>
      <c r="H300" s="117"/>
      <c r="I300" s="117"/>
      <c r="J300" s="84"/>
      <c r="L300" s="75" t="str">
        <f t="shared" si="27"/>
        <v/>
      </c>
      <c r="M300" s="75" t="str">
        <f t="shared" si="28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4"/>
        <v/>
      </c>
      <c r="D301" s="72" t="str">
        <f t="shared" si="25"/>
        <v/>
      </c>
      <c r="E301" s="84"/>
      <c r="F301" s="122" t="str">
        <f t="shared" si="26"/>
        <v/>
      </c>
      <c r="G301" s="117"/>
      <c r="H301" s="117"/>
      <c r="I301" s="117"/>
      <c r="J301" s="84"/>
      <c r="L301" s="75" t="str">
        <f t="shared" si="27"/>
        <v/>
      </c>
      <c r="M301" s="75" t="str">
        <f t="shared" si="28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4"/>
        <v/>
      </c>
      <c r="D302" s="72" t="str">
        <f t="shared" si="25"/>
        <v/>
      </c>
      <c r="E302" s="84"/>
      <c r="F302" s="122" t="str">
        <f t="shared" si="26"/>
        <v/>
      </c>
      <c r="G302" s="117"/>
      <c r="H302" s="117"/>
      <c r="I302" s="117"/>
      <c r="J302" s="84"/>
      <c r="L302" s="75" t="str">
        <f t="shared" si="27"/>
        <v/>
      </c>
      <c r="M302" s="75" t="str">
        <f t="shared" si="28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4"/>
        <v/>
      </c>
      <c r="D303" s="72" t="str">
        <f t="shared" si="25"/>
        <v/>
      </c>
      <c r="E303" s="84"/>
      <c r="F303" s="122" t="str">
        <f t="shared" si="26"/>
        <v/>
      </c>
      <c r="G303" s="117"/>
      <c r="H303" s="117"/>
      <c r="I303" s="117"/>
      <c r="J303" s="84"/>
      <c r="L303" s="75" t="str">
        <f t="shared" si="27"/>
        <v/>
      </c>
      <c r="M303" s="75" t="str">
        <f t="shared" si="28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4"/>
        <v/>
      </c>
      <c r="D304" s="72" t="str">
        <f t="shared" si="25"/>
        <v/>
      </c>
      <c r="E304" s="84"/>
      <c r="F304" s="122" t="str">
        <f t="shared" si="26"/>
        <v/>
      </c>
      <c r="G304" s="117"/>
      <c r="H304" s="117"/>
      <c r="I304" s="117"/>
      <c r="J304" s="84"/>
      <c r="L304" s="75" t="str">
        <f t="shared" si="27"/>
        <v/>
      </c>
      <c r="M304" s="75" t="str">
        <f t="shared" si="28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4"/>
        <v/>
      </c>
      <c r="D305" s="72" t="str">
        <f t="shared" si="25"/>
        <v/>
      </c>
      <c r="E305" s="84"/>
      <c r="F305" s="122" t="str">
        <f t="shared" si="26"/>
        <v/>
      </c>
      <c r="G305" s="117"/>
      <c r="H305" s="117"/>
      <c r="I305" s="117"/>
      <c r="J305" s="84"/>
      <c r="L305" s="75" t="str">
        <f t="shared" si="27"/>
        <v/>
      </c>
      <c r="M305" s="75" t="str">
        <f t="shared" si="28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4"/>
        <v/>
      </c>
      <c r="D306" s="72" t="str">
        <f t="shared" si="25"/>
        <v/>
      </c>
      <c r="E306" s="84"/>
      <c r="F306" s="122" t="str">
        <f t="shared" si="26"/>
        <v/>
      </c>
      <c r="G306" s="117"/>
      <c r="H306" s="117"/>
      <c r="I306" s="117"/>
      <c r="J306" s="84"/>
      <c r="L306" s="75" t="str">
        <f t="shared" si="27"/>
        <v/>
      </c>
      <c r="M306" s="75" t="str">
        <f t="shared" si="28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4"/>
        <v/>
      </c>
      <c r="D307" s="72" t="str">
        <f t="shared" si="25"/>
        <v/>
      </c>
      <c r="E307" s="84"/>
      <c r="F307" s="122" t="str">
        <f t="shared" si="26"/>
        <v/>
      </c>
      <c r="G307" s="117"/>
      <c r="H307" s="117"/>
      <c r="I307" s="117"/>
      <c r="J307" s="84"/>
      <c r="L307" s="75" t="str">
        <f t="shared" si="27"/>
        <v/>
      </c>
      <c r="M307" s="75" t="str">
        <f t="shared" si="28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4"/>
        <v/>
      </c>
      <c r="D308" s="72" t="str">
        <f t="shared" si="25"/>
        <v/>
      </c>
      <c r="E308" s="84"/>
      <c r="F308" s="122" t="str">
        <f t="shared" si="26"/>
        <v/>
      </c>
      <c r="G308" s="117"/>
      <c r="H308" s="117"/>
      <c r="I308" s="117"/>
      <c r="J308" s="84"/>
      <c r="L308" s="75" t="str">
        <f t="shared" si="27"/>
        <v/>
      </c>
      <c r="M308" s="75" t="str">
        <f t="shared" si="28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4"/>
        <v/>
      </c>
      <c r="D309" s="72" t="str">
        <f t="shared" si="25"/>
        <v/>
      </c>
      <c r="E309" s="84"/>
      <c r="F309" s="122" t="str">
        <f t="shared" si="26"/>
        <v/>
      </c>
      <c r="G309" s="117"/>
      <c r="H309" s="117"/>
      <c r="I309" s="117"/>
      <c r="J309" s="84"/>
      <c r="L309" s="75" t="str">
        <f t="shared" si="27"/>
        <v/>
      </c>
      <c r="M309" s="75" t="str">
        <f t="shared" si="28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4"/>
        <v/>
      </c>
      <c r="D310" s="72" t="str">
        <f t="shared" si="25"/>
        <v/>
      </c>
      <c r="E310" s="84"/>
      <c r="F310" s="122" t="str">
        <f t="shared" si="26"/>
        <v/>
      </c>
      <c r="G310" s="117"/>
      <c r="H310" s="117"/>
      <c r="I310" s="117"/>
      <c r="J310" s="84"/>
      <c r="L310" s="75" t="str">
        <f t="shared" si="27"/>
        <v/>
      </c>
      <c r="M310" s="75" t="str">
        <f t="shared" si="28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4"/>
        <v/>
      </c>
      <c r="D311" s="72" t="str">
        <f t="shared" si="25"/>
        <v/>
      </c>
      <c r="E311" s="84"/>
      <c r="F311" s="122" t="str">
        <f t="shared" si="26"/>
        <v/>
      </c>
      <c r="G311" s="117"/>
      <c r="H311" s="117"/>
      <c r="I311" s="117"/>
      <c r="J311" s="84"/>
      <c r="L311" s="75" t="str">
        <f t="shared" si="27"/>
        <v/>
      </c>
      <c r="M311" s="75" t="str">
        <f t="shared" si="28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4"/>
        <v/>
      </c>
      <c r="D312" s="72" t="str">
        <f t="shared" si="25"/>
        <v/>
      </c>
      <c r="E312" s="84"/>
      <c r="F312" s="122" t="str">
        <f t="shared" si="26"/>
        <v/>
      </c>
      <c r="G312" s="117"/>
      <c r="H312" s="117"/>
      <c r="I312" s="117"/>
      <c r="J312" s="84"/>
      <c r="L312" s="75" t="str">
        <f t="shared" si="27"/>
        <v/>
      </c>
      <c r="M312" s="75" t="str">
        <f t="shared" si="28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4"/>
        <v/>
      </c>
      <c r="D313" s="72" t="str">
        <f t="shared" si="25"/>
        <v/>
      </c>
      <c r="E313" s="84"/>
      <c r="F313" s="122" t="str">
        <f t="shared" si="26"/>
        <v/>
      </c>
      <c r="G313" s="117"/>
      <c r="H313" s="117"/>
      <c r="I313" s="117"/>
      <c r="J313" s="84"/>
      <c r="L313" s="75" t="str">
        <f t="shared" si="27"/>
        <v/>
      </c>
      <c r="M313" s="75" t="str">
        <f t="shared" si="28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4"/>
        <v/>
      </c>
      <c r="D314" s="72" t="str">
        <f t="shared" si="25"/>
        <v/>
      </c>
      <c r="E314" s="84"/>
      <c r="F314" s="122" t="str">
        <f t="shared" si="26"/>
        <v/>
      </c>
      <c r="G314" s="117"/>
      <c r="H314" s="117"/>
      <c r="I314" s="117"/>
      <c r="J314" s="84"/>
      <c r="L314" s="75" t="str">
        <f t="shared" si="27"/>
        <v/>
      </c>
      <c r="M314" s="75" t="str">
        <f t="shared" si="28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4"/>
        <v/>
      </c>
      <c r="D315" s="72" t="str">
        <f t="shared" si="25"/>
        <v/>
      </c>
      <c r="E315" s="84"/>
      <c r="F315" s="122" t="str">
        <f t="shared" si="26"/>
        <v/>
      </c>
      <c r="G315" s="117"/>
      <c r="H315" s="117"/>
      <c r="I315" s="117"/>
      <c r="J315" s="84"/>
      <c r="L315" s="75" t="str">
        <f t="shared" si="27"/>
        <v/>
      </c>
      <c r="M315" s="75" t="str">
        <f t="shared" si="28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4"/>
        <v/>
      </c>
      <c r="D316" s="72" t="str">
        <f t="shared" si="25"/>
        <v/>
      </c>
      <c r="E316" s="84"/>
      <c r="F316" s="122" t="str">
        <f t="shared" si="26"/>
        <v/>
      </c>
      <c r="G316" s="117"/>
      <c r="H316" s="117"/>
      <c r="I316" s="117"/>
      <c r="J316" s="84"/>
      <c r="L316" s="75" t="str">
        <f t="shared" si="27"/>
        <v/>
      </c>
      <c r="M316" s="75" t="str">
        <f t="shared" si="28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4"/>
        <v/>
      </c>
      <c r="D317" s="72" t="str">
        <f t="shared" si="25"/>
        <v/>
      </c>
      <c r="E317" s="84"/>
      <c r="F317" s="122" t="str">
        <f t="shared" si="26"/>
        <v/>
      </c>
      <c r="G317" s="117"/>
      <c r="H317" s="117"/>
      <c r="I317" s="117"/>
      <c r="J317" s="84"/>
      <c r="L317" s="75" t="str">
        <f t="shared" si="27"/>
        <v/>
      </c>
      <c r="M317" s="75" t="str">
        <f t="shared" si="28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4"/>
        <v/>
      </c>
      <c r="D318" s="72" t="str">
        <f t="shared" si="25"/>
        <v/>
      </c>
      <c r="E318" s="84"/>
      <c r="F318" s="122" t="str">
        <f t="shared" si="26"/>
        <v/>
      </c>
      <c r="G318" s="117"/>
      <c r="H318" s="117"/>
      <c r="I318" s="117"/>
      <c r="J318" s="84"/>
      <c r="L318" s="75" t="str">
        <f t="shared" si="27"/>
        <v/>
      </c>
      <c r="M318" s="75" t="str">
        <f t="shared" si="28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4"/>
        <v/>
      </c>
      <c r="D319" s="72" t="str">
        <f t="shared" si="25"/>
        <v/>
      </c>
      <c r="E319" s="84"/>
      <c r="F319" s="122" t="str">
        <f t="shared" si="26"/>
        <v/>
      </c>
      <c r="G319" s="117"/>
      <c r="H319" s="117"/>
      <c r="I319" s="117"/>
      <c r="J319" s="84"/>
      <c r="L319" s="75" t="str">
        <f t="shared" si="27"/>
        <v/>
      </c>
      <c r="M319" s="75" t="str">
        <f t="shared" si="28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4"/>
        <v/>
      </c>
      <c r="D320" s="72" t="str">
        <f t="shared" si="25"/>
        <v/>
      </c>
      <c r="E320" s="84"/>
      <c r="F320" s="122" t="str">
        <f t="shared" si="26"/>
        <v/>
      </c>
      <c r="G320" s="117"/>
      <c r="H320" s="117"/>
      <c r="I320" s="117"/>
      <c r="J320" s="84"/>
      <c r="L320" s="75" t="str">
        <f t="shared" si="27"/>
        <v/>
      </c>
      <c r="M320" s="75" t="str">
        <f t="shared" si="28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4"/>
        <v/>
      </c>
      <c r="D321" s="72" t="str">
        <f t="shared" si="25"/>
        <v/>
      </c>
      <c r="E321" s="84"/>
      <c r="F321" s="122" t="str">
        <f t="shared" si="26"/>
        <v/>
      </c>
      <c r="G321" s="117"/>
      <c r="H321" s="117"/>
      <c r="I321" s="117"/>
      <c r="J321" s="84"/>
      <c r="L321" s="75" t="str">
        <f t="shared" si="27"/>
        <v/>
      </c>
      <c r="M321" s="75" t="str">
        <f t="shared" si="28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4"/>
        <v/>
      </c>
      <c r="D322" s="72" t="str">
        <f t="shared" si="25"/>
        <v/>
      </c>
      <c r="E322" s="84"/>
      <c r="F322" s="122" t="str">
        <f t="shared" si="26"/>
        <v/>
      </c>
      <c r="G322" s="117"/>
      <c r="H322" s="117"/>
      <c r="I322" s="117"/>
      <c r="J322" s="84"/>
      <c r="L322" s="75" t="str">
        <f t="shared" si="27"/>
        <v/>
      </c>
      <c r="M322" s="75" t="str">
        <f t="shared" si="28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4"/>
        <v/>
      </c>
      <c r="D323" s="72" t="str">
        <f t="shared" si="25"/>
        <v/>
      </c>
      <c r="E323" s="84"/>
      <c r="F323" s="122" t="str">
        <f t="shared" si="26"/>
        <v/>
      </c>
      <c r="G323" s="117"/>
      <c r="H323" s="117"/>
      <c r="I323" s="117"/>
      <c r="J323" s="84"/>
      <c r="L323" s="75" t="str">
        <f t="shared" si="27"/>
        <v/>
      </c>
      <c r="M323" s="75" t="str">
        <f t="shared" si="28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ref="C324:C387" si="29">IFERROR(VLOOKUP(E324,$R$6:$U$114,3,FALSE),"")</f>
        <v/>
      </c>
      <c r="D324" s="72" t="str">
        <f t="shared" ref="D324:D387" si="30">IFERROR(VLOOKUP(E324,$R$6:$U$114,4,FALSE),"")</f>
        <v/>
      </c>
      <c r="E324" s="84"/>
      <c r="F324" s="122" t="str">
        <f t="shared" ref="F324:F387" si="31">IFERROR(VLOOKUP(E324,$R$6:$U$114,2,FALSE),"")</f>
        <v/>
      </c>
      <c r="G324" s="117"/>
      <c r="H324" s="117"/>
      <c r="I324" s="117"/>
      <c r="J324" s="84"/>
      <c r="L324" s="75" t="str">
        <f t="shared" si="27"/>
        <v/>
      </c>
      <c r="M324" s="75" t="str">
        <f t="shared" si="28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9"/>
        <v/>
      </c>
      <c r="D325" s="72" t="str">
        <f t="shared" si="30"/>
        <v/>
      </c>
      <c r="E325" s="84"/>
      <c r="F325" s="122" t="str">
        <f t="shared" si="31"/>
        <v/>
      </c>
      <c r="G325" s="117"/>
      <c r="H325" s="117"/>
      <c r="I325" s="117"/>
      <c r="J325" s="84"/>
      <c r="L325" s="75" t="str">
        <f t="shared" ref="L325:L388" si="32">LEFT(E325,2)</f>
        <v/>
      </c>
      <c r="M325" s="75" t="str">
        <f t="shared" ref="M325:M388" si="33">LEFT(E325,3)</f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9"/>
        <v/>
      </c>
      <c r="D326" s="72" t="str">
        <f t="shared" si="30"/>
        <v/>
      </c>
      <c r="E326" s="84"/>
      <c r="F326" s="122" t="str">
        <f t="shared" si="31"/>
        <v/>
      </c>
      <c r="G326" s="117"/>
      <c r="H326" s="117"/>
      <c r="I326" s="117"/>
      <c r="J326" s="84"/>
      <c r="L326" s="75" t="str">
        <f t="shared" si="32"/>
        <v/>
      </c>
      <c r="M326" s="75" t="str">
        <f t="shared" si="33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9"/>
        <v/>
      </c>
      <c r="D327" s="72" t="str">
        <f t="shared" si="30"/>
        <v/>
      </c>
      <c r="E327" s="84"/>
      <c r="F327" s="122" t="str">
        <f t="shared" si="31"/>
        <v/>
      </c>
      <c r="G327" s="117"/>
      <c r="H327" s="117"/>
      <c r="I327" s="117"/>
      <c r="J327" s="84"/>
      <c r="L327" s="75" t="str">
        <f t="shared" si="32"/>
        <v/>
      </c>
      <c r="M327" s="75" t="str">
        <f t="shared" si="33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9"/>
        <v/>
      </c>
      <c r="D328" s="72" t="str">
        <f t="shared" si="30"/>
        <v/>
      </c>
      <c r="E328" s="84"/>
      <c r="F328" s="122" t="str">
        <f t="shared" si="31"/>
        <v/>
      </c>
      <c r="G328" s="117"/>
      <c r="H328" s="117"/>
      <c r="I328" s="117"/>
      <c r="J328" s="84"/>
      <c r="L328" s="75" t="str">
        <f t="shared" si="32"/>
        <v/>
      </c>
      <c r="M328" s="75" t="str">
        <f t="shared" si="33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9"/>
        <v/>
      </c>
      <c r="D329" s="72" t="str">
        <f t="shared" si="30"/>
        <v/>
      </c>
      <c r="E329" s="84"/>
      <c r="F329" s="122" t="str">
        <f t="shared" si="31"/>
        <v/>
      </c>
      <c r="G329" s="117"/>
      <c r="H329" s="117"/>
      <c r="I329" s="117"/>
      <c r="J329" s="84"/>
      <c r="L329" s="75" t="str">
        <f t="shared" si="32"/>
        <v/>
      </c>
      <c r="M329" s="75" t="str">
        <f t="shared" si="33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9"/>
        <v/>
      </c>
      <c r="D330" s="72" t="str">
        <f t="shared" si="30"/>
        <v/>
      </c>
      <c r="E330" s="84"/>
      <c r="F330" s="122" t="str">
        <f t="shared" si="31"/>
        <v/>
      </c>
      <c r="G330" s="117"/>
      <c r="H330" s="117"/>
      <c r="I330" s="117"/>
      <c r="J330" s="84"/>
      <c r="L330" s="75" t="str">
        <f t="shared" si="32"/>
        <v/>
      </c>
      <c r="M330" s="75" t="str">
        <f t="shared" si="33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9"/>
        <v/>
      </c>
      <c r="D331" s="72" t="str">
        <f t="shared" si="30"/>
        <v/>
      </c>
      <c r="E331" s="84"/>
      <c r="F331" s="122" t="str">
        <f t="shared" si="31"/>
        <v/>
      </c>
      <c r="G331" s="117"/>
      <c r="H331" s="117"/>
      <c r="I331" s="117"/>
      <c r="J331" s="84"/>
      <c r="L331" s="75" t="str">
        <f t="shared" si="32"/>
        <v/>
      </c>
      <c r="M331" s="75" t="str">
        <f t="shared" si="33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9"/>
        <v/>
      </c>
      <c r="D332" s="72" t="str">
        <f t="shared" si="30"/>
        <v/>
      </c>
      <c r="E332" s="84"/>
      <c r="F332" s="122" t="str">
        <f t="shared" si="31"/>
        <v/>
      </c>
      <c r="G332" s="117"/>
      <c r="H332" s="117"/>
      <c r="I332" s="117"/>
      <c r="J332" s="84"/>
      <c r="L332" s="75" t="str">
        <f t="shared" si="32"/>
        <v/>
      </c>
      <c r="M332" s="75" t="str">
        <f t="shared" si="33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9"/>
        <v/>
      </c>
      <c r="D333" s="72" t="str">
        <f t="shared" si="30"/>
        <v/>
      </c>
      <c r="E333" s="84"/>
      <c r="F333" s="122" t="str">
        <f t="shared" si="31"/>
        <v/>
      </c>
      <c r="G333" s="117"/>
      <c r="H333" s="117"/>
      <c r="I333" s="117"/>
      <c r="J333" s="84"/>
      <c r="L333" s="75" t="str">
        <f t="shared" si="32"/>
        <v/>
      </c>
      <c r="M333" s="75" t="str">
        <f t="shared" si="33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9"/>
        <v/>
      </c>
      <c r="D334" s="72" t="str">
        <f t="shared" si="30"/>
        <v/>
      </c>
      <c r="E334" s="84"/>
      <c r="F334" s="122" t="str">
        <f t="shared" si="31"/>
        <v/>
      </c>
      <c r="G334" s="117"/>
      <c r="H334" s="117"/>
      <c r="I334" s="117"/>
      <c r="J334" s="84"/>
      <c r="L334" s="75" t="str">
        <f t="shared" si="32"/>
        <v/>
      </c>
      <c r="M334" s="75" t="str">
        <f t="shared" si="33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9"/>
        <v/>
      </c>
      <c r="D335" s="72" t="str">
        <f t="shared" si="30"/>
        <v/>
      </c>
      <c r="E335" s="84"/>
      <c r="F335" s="122" t="str">
        <f t="shared" si="31"/>
        <v/>
      </c>
      <c r="G335" s="117"/>
      <c r="H335" s="117"/>
      <c r="I335" s="117"/>
      <c r="J335" s="84"/>
      <c r="L335" s="75" t="str">
        <f t="shared" si="32"/>
        <v/>
      </c>
      <c r="M335" s="75" t="str">
        <f t="shared" si="33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9"/>
        <v/>
      </c>
      <c r="D336" s="72" t="str">
        <f t="shared" si="30"/>
        <v/>
      </c>
      <c r="E336" s="84"/>
      <c r="F336" s="122" t="str">
        <f t="shared" si="31"/>
        <v/>
      </c>
      <c r="G336" s="117"/>
      <c r="H336" s="117"/>
      <c r="I336" s="117"/>
      <c r="J336" s="84"/>
      <c r="L336" s="75" t="str">
        <f t="shared" si="32"/>
        <v/>
      </c>
      <c r="M336" s="75" t="str">
        <f t="shared" si="33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9"/>
        <v/>
      </c>
      <c r="D337" s="72" t="str">
        <f t="shared" si="30"/>
        <v/>
      </c>
      <c r="E337" s="84"/>
      <c r="F337" s="122" t="str">
        <f t="shared" si="31"/>
        <v/>
      </c>
      <c r="G337" s="117"/>
      <c r="H337" s="117"/>
      <c r="I337" s="117"/>
      <c r="J337" s="84"/>
      <c r="L337" s="75" t="str">
        <f t="shared" si="32"/>
        <v/>
      </c>
      <c r="M337" s="75" t="str">
        <f t="shared" si="33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9"/>
        <v/>
      </c>
      <c r="D338" s="72" t="str">
        <f t="shared" si="30"/>
        <v/>
      </c>
      <c r="E338" s="84"/>
      <c r="F338" s="122" t="str">
        <f t="shared" si="31"/>
        <v/>
      </c>
      <c r="G338" s="117"/>
      <c r="H338" s="117"/>
      <c r="I338" s="117"/>
      <c r="J338" s="84"/>
      <c r="L338" s="75" t="str">
        <f t="shared" si="32"/>
        <v/>
      </c>
      <c r="M338" s="75" t="str">
        <f t="shared" si="33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9"/>
        <v/>
      </c>
      <c r="D339" s="72" t="str">
        <f t="shared" si="30"/>
        <v/>
      </c>
      <c r="E339" s="84"/>
      <c r="F339" s="122" t="str">
        <f t="shared" si="31"/>
        <v/>
      </c>
      <c r="G339" s="117"/>
      <c r="H339" s="117"/>
      <c r="I339" s="117"/>
      <c r="J339" s="84"/>
      <c r="L339" s="75" t="str">
        <f t="shared" si="32"/>
        <v/>
      </c>
      <c r="M339" s="75" t="str">
        <f t="shared" si="33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9"/>
        <v/>
      </c>
      <c r="D340" s="72" t="str">
        <f t="shared" si="30"/>
        <v/>
      </c>
      <c r="E340" s="84"/>
      <c r="F340" s="122" t="str">
        <f t="shared" si="31"/>
        <v/>
      </c>
      <c r="G340" s="117"/>
      <c r="H340" s="117"/>
      <c r="I340" s="117"/>
      <c r="J340" s="84"/>
      <c r="L340" s="75" t="str">
        <f t="shared" si="32"/>
        <v/>
      </c>
      <c r="M340" s="75" t="str">
        <f t="shared" si="33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9"/>
        <v/>
      </c>
      <c r="D341" s="72" t="str">
        <f t="shared" si="30"/>
        <v/>
      </c>
      <c r="E341" s="84"/>
      <c r="F341" s="122" t="str">
        <f t="shared" si="31"/>
        <v/>
      </c>
      <c r="G341" s="117"/>
      <c r="H341" s="117"/>
      <c r="I341" s="117"/>
      <c r="J341" s="84"/>
      <c r="L341" s="75" t="str">
        <f t="shared" si="32"/>
        <v/>
      </c>
      <c r="M341" s="75" t="str">
        <f t="shared" si="33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9"/>
        <v/>
      </c>
      <c r="D342" s="72" t="str">
        <f t="shared" si="30"/>
        <v/>
      </c>
      <c r="E342" s="84"/>
      <c r="F342" s="122" t="str">
        <f t="shared" si="31"/>
        <v/>
      </c>
      <c r="G342" s="117"/>
      <c r="H342" s="117"/>
      <c r="I342" s="117"/>
      <c r="J342" s="84"/>
      <c r="L342" s="75" t="str">
        <f t="shared" si="32"/>
        <v/>
      </c>
      <c r="M342" s="75" t="str">
        <f t="shared" si="33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9"/>
        <v/>
      </c>
      <c r="D343" s="72" t="str">
        <f t="shared" si="30"/>
        <v/>
      </c>
      <c r="E343" s="84"/>
      <c r="F343" s="122" t="str">
        <f t="shared" si="31"/>
        <v/>
      </c>
      <c r="G343" s="117"/>
      <c r="H343" s="117"/>
      <c r="I343" s="117"/>
      <c r="J343" s="84"/>
      <c r="L343" s="75" t="str">
        <f t="shared" si="32"/>
        <v/>
      </c>
      <c r="M343" s="75" t="str">
        <f t="shared" si="33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9"/>
        <v/>
      </c>
      <c r="D344" s="72" t="str">
        <f t="shared" si="30"/>
        <v/>
      </c>
      <c r="E344" s="84"/>
      <c r="F344" s="122" t="str">
        <f t="shared" si="31"/>
        <v/>
      </c>
      <c r="G344" s="117"/>
      <c r="H344" s="117"/>
      <c r="I344" s="117"/>
      <c r="J344" s="84"/>
      <c r="L344" s="75" t="str">
        <f t="shared" si="32"/>
        <v/>
      </c>
      <c r="M344" s="75" t="str">
        <f t="shared" si="33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9"/>
        <v/>
      </c>
      <c r="D345" s="72" t="str">
        <f t="shared" si="30"/>
        <v/>
      </c>
      <c r="E345" s="84"/>
      <c r="F345" s="122" t="str">
        <f t="shared" si="31"/>
        <v/>
      </c>
      <c r="G345" s="117"/>
      <c r="H345" s="117"/>
      <c r="I345" s="117"/>
      <c r="J345" s="84"/>
      <c r="L345" s="75" t="str">
        <f t="shared" si="32"/>
        <v/>
      </c>
      <c r="M345" s="75" t="str">
        <f t="shared" si="33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9"/>
        <v/>
      </c>
      <c r="D346" s="72" t="str">
        <f t="shared" si="30"/>
        <v/>
      </c>
      <c r="E346" s="84"/>
      <c r="F346" s="122" t="str">
        <f t="shared" si="31"/>
        <v/>
      </c>
      <c r="G346" s="117"/>
      <c r="H346" s="117"/>
      <c r="I346" s="117"/>
      <c r="J346" s="84"/>
      <c r="L346" s="75" t="str">
        <f t="shared" si="32"/>
        <v/>
      </c>
      <c r="M346" s="75" t="str">
        <f t="shared" si="33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9"/>
        <v/>
      </c>
      <c r="D347" s="72" t="str">
        <f t="shared" si="30"/>
        <v/>
      </c>
      <c r="E347" s="84"/>
      <c r="F347" s="122" t="str">
        <f t="shared" si="31"/>
        <v/>
      </c>
      <c r="G347" s="117"/>
      <c r="H347" s="117"/>
      <c r="I347" s="117"/>
      <c r="J347" s="84"/>
      <c r="L347" s="75" t="str">
        <f t="shared" si="32"/>
        <v/>
      </c>
      <c r="M347" s="75" t="str">
        <f t="shared" si="33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9"/>
        <v/>
      </c>
      <c r="D348" s="72" t="str">
        <f t="shared" si="30"/>
        <v/>
      </c>
      <c r="E348" s="84"/>
      <c r="F348" s="122" t="str">
        <f t="shared" si="31"/>
        <v/>
      </c>
      <c r="G348" s="117"/>
      <c r="H348" s="117"/>
      <c r="I348" s="117"/>
      <c r="J348" s="84"/>
      <c r="L348" s="75" t="str">
        <f t="shared" si="32"/>
        <v/>
      </c>
      <c r="M348" s="75" t="str">
        <f t="shared" si="33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9"/>
        <v/>
      </c>
      <c r="D349" s="72" t="str">
        <f t="shared" si="30"/>
        <v/>
      </c>
      <c r="E349" s="84"/>
      <c r="F349" s="122" t="str">
        <f t="shared" si="31"/>
        <v/>
      </c>
      <c r="G349" s="117"/>
      <c r="H349" s="117"/>
      <c r="I349" s="117"/>
      <c r="J349" s="84"/>
      <c r="L349" s="75" t="str">
        <f t="shared" si="32"/>
        <v/>
      </c>
      <c r="M349" s="75" t="str">
        <f t="shared" si="33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9"/>
        <v/>
      </c>
      <c r="D350" s="72" t="str">
        <f t="shared" si="30"/>
        <v/>
      </c>
      <c r="E350" s="84"/>
      <c r="F350" s="122" t="str">
        <f t="shared" si="31"/>
        <v/>
      </c>
      <c r="G350" s="117"/>
      <c r="H350" s="117"/>
      <c r="I350" s="117"/>
      <c r="J350" s="84"/>
      <c r="L350" s="75" t="str">
        <f t="shared" si="32"/>
        <v/>
      </c>
      <c r="M350" s="75" t="str">
        <f t="shared" si="33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9"/>
        <v/>
      </c>
      <c r="D351" s="72" t="str">
        <f t="shared" si="30"/>
        <v/>
      </c>
      <c r="E351" s="84"/>
      <c r="F351" s="122" t="str">
        <f t="shared" si="31"/>
        <v/>
      </c>
      <c r="G351" s="117"/>
      <c r="H351" s="117"/>
      <c r="I351" s="117"/>
      <c r="J351" s="84"/>
      <c r="L351" s="75" t="str">
        <f t="shared" si="32"/>
        <v/>
      </c>
      <c r="M351" s="75" t="str">
        <f t="shared" si="33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9"/>
        <v/>
      </c>
      <c r="D352" s="72" t="str">
        <f t="shared" si="30"/>
        <v/>
      </c>
      <c r="E352" s="84"/>
      <c r="F352" s="122" t="str">
        <f t="shared" si="31"/>
        <v/>
      </c>
      <c r="G352" s="117"/>
      <c r="H352" s="117"/>
      <c r="I352" s="117"/>
      <c r="J352" s="84"/>
      <c r="L352" s="75" t="str">
        <f t="shared" si="32"/>
        <v/>
      </c>
      <c r="M352" s="75" t="str">
        <f t="shared" si="33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9"/>
        <v/>
      </c>
      <c r="D353" s="72" t="str">
        <f t="shared" si="30"/>
        <v/>
      </c>
      <c r="E353" s="84"/>
      <c r="F353" s="122" t="str">
        <f t="shared" si="31"/>
        <v/>
      </c>
      <c r="G353" s="117"/>
      <c r="H353" s="117"/>
      <c r="I353" s="117"/>
      <c r="J353" s="84"/>
      <c r="L353" s="75" t="str">
        <f t="shared" si="32"/>
        <v/>
      </c>
      <c r="M353" s="75" t="str">
        <f t="shared" si="33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9"/>
        <v/>
      </c>
      <c r="D354" s="72" t="str">
        <f t="shared" si="30"/>
        <v/>
      </c>
      <c r="E354" s="84"/>
      <c r="F354" s="122" t="str">
        <f t="shared" si="31"/>
        <v/>
      </c>
      <c r="G354" s="117"/>
      <c r="H354" s="117"/>
      <c r="I354" s="117"/>
      <c r="J354" s="84"/>
      <c r="L354" s="75" t="str">
        <f t="shared" si="32"/>
        <v/>
      </c>
      <c r="M354" s="75" t="str">
        <f t="shared" si="33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9"/>
        <v/>
      </c>
      <c r="D355" s="72" t="str">
        <f t="shared" si="30"/>
        <v/>
      </c>
      <c r="E355" s="84"/>
      <c r="F355" s="122" t="str">
        <f t="shared" si="31"/>
        <v/>
      </c>
      <c r="G355" s="117"/>
      <c r="H355" s="117"/>
      <c r="I355" s="117"/>
      <c r="J355" s="84"/>
      <c r="L355" s="75" t="str">
        <f t="shared" si="32"/>
        <v/>
      </c>
      <c r="M355" s="75" t="str">
        <f t="shared" si="33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9"/>
        <v/>
      </c>
      <c r="D356" s="72" t="str">
        <f t="shared" si="30"/>
        <v/>
      </c>
      <c r="E356" s="84"/>
      <c r="F356" s="122" t="str">
        <f t="shared" si="31"/>
        <v/>
      </c>
      <c r="G356" s="117"/>
      <c r="H356" s="117"/>
      <c r="I356" s="117"/>
      <c r="J356" s="84"/>
      <c r="L356" s="75" t="str">
        <f t="shared" si="32"/>
        <v/>
      </c>
      <c r="M356" s="75" t="str">
        <f t="shared" si="33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9"/>
        <v/>
      </c>
      <c r="D357" s="72" t="str">
        <f t="shared" si="30"/>
        <v/>
      </c>
      <c r="E357" s="84"/>
      <c r="F357" s="122" t="str">
        <f t="shared" si="31"/>
        <v/>
      </c>
      <c r="G357" s="117"/>
      <c r="H357" s="117"/>
      <c r="I357" s="117"/>
      <c r="J357" s="84"/>
      <c r="L357" s="75" t="str">
        <f t="shared" si="32"/>
        <v/>
      </c>
      <c r="M357" s="75" t="str">
        <f t="shared" si="33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9"/>
        <v/>
      </c>
      <c r="D358" s="72" t="str">
        <f t="shared" si="30"/>
        <v/>
      </c>
      <c r="E358" s="84"/>
      <c r="F358" s="122" t="str">
        <f t="shared" si="31"/>
        <v/>
      </c>
      <c r="G358" s="117"/>
      <c r="H358" s="117"/>
      <c r="I358" s="117"/>
      <c r="J358" s="84"/>
      <c r="L358" s="75" t="str">
        <f t="shared" si="32"/>
        <v/>
      </c>
      <c r="M358" s="75" t="str">
        <f t="shared" si="33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9"/>
        <v/>
      </c>
      <c r="D359" s="72" t="str">
        <f t="shared" si="30"/>
        <v/>
      </c>
      <c r="E359" s="84"/>
      <c r="F359" s="122" t="str">
        <f t="shared" si="31"/>
        <v/>
      </c>
      <c r="G359" s="117"/>
      <c r="H359" s="117"/>
      <c r="I359" s="117"/>
      <c r="J359" s="84"/>
      <c r="L359" s="75" t="str">
        <f t="shared" si="32"/>
        <v/>
      </c>
      <c r="M359" s="75" t="str">
        <f t="shared" si="33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9"/>
        <v/>
      </c>
      <c r="D360" s="72" t="str">
        <f t="shared" si="30"/>
        <v/>
      </c>
      <c r="E360" s="84"/>
      <c r="F360" s="122" t="str">
        <f t="shared" si="31"/>
        <v/>
      </c>
      <c r="G360" s="117"/>
      <c r="H360" s="117"/>
      <c r="I360" s="117"/>
      <c r="J360" s="84"/>
      <c r="L360" s="75" t="str">
        <f t="shared" si="32"/>
        <v/>
      </c>
      <c r="M360" s="75" t="str">
        <f t="shared" si="33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9"/>
        <v/>
      </c>
      <c r="D361" s="72" t="str">
        <f t="shared" si="30"/>
        <v/>
      </c>
      <c r="E361" s="84"/>
      <c r="F361" s="122" t="str">
        <f t="shared" si="31"/>
        <v/>
      </c>
      <c r="G361" s="117"/>
      <c r="H361" s="117"/>
      <c r="I361" s="117"/>
      <c r="J361" s="84"/>
      <c r="L361" s="75" t="str">
        <f t="shared" si="32"/>
        <v/>
      </c>
      <c r="M361" s="75" t="str">
        <f t="shared" si="33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9"/>
        <v/>
      </c>
      <c r="D362" s="72" t="str">
        <f t="shared" si="30"/>
        <v/>
      </c>
      <c r="E362" s="84"/>
      <c r="F362" s="122" t="str">
        <f t="shared" si="31"/>
        <v/>
      </c>
      <c r="G362" s="117"/>
      <c r="H362" s="117"/>
      <c r="I362" s="117"/>
      <c r="J362" s="84"/>
      <c r="L362" s="75" t="str">
        <f t="shared" si="32"/>
        <v/>
      </c>
      <c r="M362" s="75" t="str">
        <f t="shared" si="33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9"/>
        <v/>
      </c>
      <c r="D363" s="72" t="str">
        <f t="shared" si="30"/>
        <v/>
      </c>
      <c r="E363" s="84"/>
      <c r="F363" s="122" t="str">
        <f t="shared" si="31"/>
        <v/>
      </c>
      <c r="G363" s="117"/>
      <c r="H363" s="117"/>
      <c r="I363" s="117"/>
      <c r="J363" s="84"/>
      <c r="L363" s="75" t="str">
        <f t="shared" si="32"/>
        <v/>
      </c>
      <c r="M363" s="75" t="str">
        <f t="shared" si="33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9"/>
        <v/>
      </c>
      <c r="D364" s="72" t="str">
        <f t="shared" si="30"/>
        <v/>
      </c>
      <c r="E364" s="84"/>
      <c r="F364" s="122" t="str">
        <f t="shared" si="31"/>
        <v/>
      </c>
      <c r="G364" s="117"/>
      <c r="H364" s="117"/>
      <c r="I364" s="117"/>
      <c r="J364" s="84"/>
      <c r="L364" s="75" t="str">
        <f t="shared" si="32"/>
        <v/>
      </c>
      <c r="M364" s="75" t="str">
        <f t="shared" si="33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9"/>
        <v/>
      </c>
      <c r="D365" s="72" t="str">
        <f t="shared" si="30"/>
        <v/>
      </c>
      <c r="E365" s="84"/>
      <c r="F365" s="122" t="str">
        <f t="shared" si="31"/>
        <v/>
      </c>
      <c r="G365" s="117"/>
      <c r="H365" s="117"/>
      <c r="I365" s="117"/>
      <c r="J365" s="84"/>
      <c r="L365" s="75" t="str">
        <f t="shared" si="32"/>
        <v/>
      </c>
      <c r="M365" s="75" t="str">
        <f t="shared" si="33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9"/>
        <v/>
      </c>
      <c r="D366" s="72" t="str">
        <f t="shared" si="30"/>
        <v/>
      </c>
      <c r="E366" s="84"/>
      <c r="F366" s="122" t="str">
        <f t="shared" si="31"/>
        <v/>
      </c>
      <c r="G366" s="117"/>
      <c r="H366" s="117"/>
      <c r="I366" s="117"/>
      <c r="J366" s="84"/>
      <c r="L366" s="75" t="str">
        <f t="shared" si="32"/>
        <v/>
      </c>
      <c r="M366" s="75" t="str">
        <f t="shared" si="33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9"/>
        <v/>
      </c>
      <c r="D367" s="72" t="str">
        <f t="shared" si="30"/>
        <v/>
      </c>
      <c r="E367" s="84"/>
      <c r="F367" s="122" t="str">
        <f t="shared" si="31"/>
        <v/>
      </c>
      <c r="G367" s="117"/>
      <c r="H367" s="117"/>
      <c r="I367" s="117"/>
      <c r="J367" s="84"/>
      <c r="L367" s="75" t="str">
        <f t="shared" si="32"/>
        <v/>
      </c>
      <c r="M367" s="75" t="str">
        <f t="shared" si="33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9"/>
        <v/>
      </c>
      <c r="D368" s="72" t="str">
        <f t="shared" si="30"/>
        <v/>
      </c>
      <c r="E368" s="84"/>
      <c r="F368" s="122" t="str">
        <f t="shared" si="31"/>
        <v/>
      </c>
      <c r="G368" s="117"/>
      <c r="H368" s="117"/>
      <c r="I368" s="117"/>
      <c r="J368" s="84"/>
      <c r="L368" s="75" t="str">
        <f t="shared" si="32"/>
        <v/>
      </c>
      <c r="M368" s="75" t="str">
        <f t="shared" si="33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9"/>
        <v/>
      </c>
      <c r="D369" s="72" t="str">
        <f t="shared" si="30"/>
        <v/>
      </c>
      <c r="E369" s="84"/>
      <c r="F369" s="122" t="str">
        <f t="shared" si="31"/>
        <v/>
      </c>
      <c r="G369" s="117"/>
      <c r="H369" s="117"/>
      <c r="I369" s="117"/>
      <c r="J369" s="84"/>
      <c r="L369" s="75" t="str">
        <f t="shared" si="32"/>
        <v/>
      </c>
      <c r="M369" s="75" t="str">
        <f t="shared" si="33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9"/>
        <v/>
      </c>
      <c r="D370" s="72" t="str">
        <f t="shared" si="30"/>
        <v/>
      </c>
      <c r="E370" s="84"/>
      <c r="F370" s="122" t="str">
        <f t="shared" si="31"/>
        <v/>
      </c>
      <c r="G370" s="117"/>
      <c r="H370" s="117"/>
      <c r="I370" s="117"/>
      <c r="J370" s="84"/>
      <c r="L370" s="75" t="str">
        <f t="shared" si="32"/>
        <v/>
      </c>
      <c r="M370" s="75" t="str">
        <f t="shared" si="33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9"/>
        <v/>
      </c>
      <c r="D371" s="72" t="str">
        <f t="shared" si="30"/>
        <v/>
      </c>
      <c r="E371" s="84"/>
      <c r="F371" s="122" t="str">
        <f t="shared" si="31"/>
        <v/>
      </c>
      <c r="G371" s="117"/>
      <c r="H371" s="117"/>
      <c r="I371" s="117"/>
      <c r="J371" s="84"/>
      <c r="L371" s="75" t="str">
        <f t="shared" si="32"/>
        <v/>
      </c>
      <c r="M371" s="75" t="str">
        <f t="shared" si="33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9"/>
        <v/>
      </c>
      <c r="D372" s="72" t="str">
        <f t="shared" si="30"/>
        <v/>
      </c>
      <c r="E372" s="84"/>
      <c r="F372" s="122" t="str">
        <f t="shared" si="31"/>
        <v/>
      </c>
      <c r="G372" s="117"/>
      <c r="H372" s="117"/>
      <c r="I372" s="117"/>
      <c r="J372" s="84"/>
      <c r="L372" s="75" t="str">
        <f t="shared" si="32"/>
        <v/>
      </c>
      <c r="M372" s="75" t="str">
        <f t="shared" si="33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9"/>
        <v/>
      </c>
      <c r="D373" s="72" t="str">
        <f t="shared" si="30"/>
        <v/>
      </c>
      <c r="E373" s="84"/>
      <c r="F373" s="122" t="str">
        <f t="shared" si="31"/>
        <v/>
      </c>
      <c r="G373" s="117"/>
      <c r="H373" s="117"/>
      <c r="I373" s="117"/>
      <c r="J373" s="84"/>
      <c r="L373" s="75" t="str">
        <f t="shared" si="32"/>
        <v/>
      </c>
      <c r="M373" s="75" t="str">
        <f t="shared" si="33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9"/>
        <v/>
      </c>
      <c r="D374" s="72" t="str">
        <f t="shared" si="30"/>
        <v/>
      </c>
      <c r="E374" s="84"/>
      <c r="F374" s="122" t="str">
        <f t="shared" si="31"/>
        <v/>
      </c>
      <c r="G374" s="117"/>
      <c r="H374" s="117"/>
      <c r="I374" s="117"/>
      <c r="J374" s="84"/>
      <c r="L374" s="75" t="str">
        <f t="shared" si="32"/>
        <v/>
      </c>
      <c r="M374" s="75" t="str">
        <f t="shared" si="33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9"/>
        <v/>
      </c>
      <c r="D375" s="72" t="str">
        <f t="shared" si="30"/>
        <v/>
      </c>
      <c r="E375" s="84"/>
      <c r="F375" s="122" t="str">
        <f t="shared" si="31"/>
        <v/>
      </c>
      <c r="G375" s="117"/>
      <c r="H375" s="117"/>
      <c r="I375" s="117"/>
      <c r="J375" s="84"/>
      <c r="L375" s="75" t="str">
        <f t="shared" si="32"/>
        <v/>
      </c>
      <c r="M375" s="75" t="str">
        <f t="shared" si="33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9"/>
        <v/>
      </c>
      <c r="D376" s="72" t="str">
        <f t="shared" si="30"/>
        <v/>
      </c>
      <c r="E376" s="84"/>
      <c r="F376" s="122" t="str">
        <f t="shared" si="31"/>
        <v/>
      </c>
      <c r="G376" s="117"/>
      <c r="H376" s="117"/>
      <c r="I376" s="117"/>
      <c r="J376" s="84"/>
      <c r="L376" s="75" t="str">
        <f t="shared" si="32"/>
        <v/>
      </c>
      <c r="M376" s="75" t="str">
        <f t="shared" si="33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9"/>
        <v/>
      </c>
      <c r="D377" s="72" t="str">
        <f t="shared" si="30"/>
        <v/>
      </c>
      <c r="E377" s="84"/>
      <c r="F377" s="122" t="str">
        <f t="shared" si="31"/>
        <v/>
      </c>
      <c r="G377" s="117"/>
      <c r="H377" s="117"/>
      <c r="I377" s="117"/>
      <c r="J377" s="84"/>
      <c r="L377" s="75" t="str">
        <f t="shared" si="32"/>
        <v/>
      </c>
      <c r="M377" s="75" t="str">
        <f t="shared" si="33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9"/>
        <v/>
      </c>
      <c r="D378" s="72" t="str">
        <f t="shared" si="30"/>
        <v/>
      </c>
      <c r="E378" s="84"/>
      <c r="F378" s="122" t="str">
        <f t="shared" si="31"/>
        <v/>
      </c>
      <c r="G378" s="117"/>
      <c r="H378" s="117"/>
      <c r="I378" s="117"/>
      <c r="J378" s="84"/>
      <c r="L378" s="75" t="str">
        <f t="shared" si="32"/>
        <v/>
      </c>
      <c r="M378" s="75" t="str">
        <f t="shared" si="33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9"/>
        <v/>
      </c>
      <c r="D379" s="72" t="str">
        <f t="shared" si="30"/>
        <v/>
      </c>
      <c r="E379" s="84"/>
      <c r="F379" s="122" t="str">
        <f t="shared" si="31"/>
        <v/>
      </c>
      <c r="G379" s="117"/>
      <c r="H379" s="117"/>
      <c r="I379" s="117"/>
      <c r="J379" s="84"/>
      <c r="L379" s="75" t="str">
        <f t="shared" si="32"/>
        <v/>
      </c>
      <c r="M379" s="75" t="str">
        <f t="shared" si="33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9"/>
        <v/>
      </c>
      <c r="D380" s="72" t="str">
        <f t="shared" si="30"/>
        <v/>
      </c>
      <c r="E380" s="84"/>
      <c r="F380" s="122" t="str">
        <f t="shared" si="31"/>
        <v/>
      </c>
      <c r="G380" s="117"/>
      <c r="H380" s="117"/>
      <c r="I380" s="117"/>
      <c r="J380" s="84"/>
      <c r="L380" s="75" t="str">
        <f t="shared" si="32"/>
        <v/>
      </c>
      <c r="M380" s="75" t="str">
        <f t="shared" si="33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9"/>
        <v/>
      </c>
      <c r="D381" s="72" t="str">
        <f t="shared" si="30"/>
        <v/>
      </c>
      <c r="E381" s="84"/>
      <c r="F381" s="122" t="str">
        <f t="shared" si="31"/>
        <v/>
      </c>
      <c r="G381" s="117"/>
      <c r="H381" s="117"/>
      <c r="I381" s="117"/>
      <c r="J381" s="84"/>
      <c r="L381" s="75" t="str">
        <f t="shared" si="32"/>
        <v/>
      </c>
      <c r="M381" s="75" t="str">
        <f t="shared" si="33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9"/>
        <v/>
      </c>
      <c r="D382" s="72" t="str">
        <f t="shared" si="30"/>
        <v/>
      </c>
      <c r="E382" s="84"/>
      <c r="F382" s="122" t="str">
        <f t="shared" si="31"/>
        <v/>
      </c>
      <c r="G382" s="117"/>
      <c r="H382" s="117"/>
      <c r="I382" s="117"/>
      <c r="J382" s="84"/>
      <c r="L382" s="75" t="str">
        <f t="shared" si="32"/>
        <v/>
      </c>
      <c r="M382" s="75" t="str">
        <f t="shared" si="33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9"/>
        <v/>
      </c>
      <c r="D383" s="72" t="str">
        <f t="shared" si="30"/>
        <v/>
      </c>
      <c r="E383" s="84"/>
      <c r="F383" s="122" t="str">
        <f t="shared" si="31"/>
        <v/>
      </c>
      <c r="G383" s="117"/>
      <c r="H383" s="117"/>
      <c r="I383" s="117"/>
      <c r="J383" s="84"/>
      <c r="L383" s="75" t="str">
        <f t="shared" si="32"/>
        <v/>
      </c>
      <c r="M383" s="75" t="str">
        <f t="shared" si="33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9"/>
        <v/>
      </c>
      <c r="D384" s="72" t="str">
        <f t="shared" si="30"/>
        <v/>
      </c>
      <c r="E384" s="84"/>
      <c r="F384" s="122" t="str">
        <f t="shared" si="31"/>
        <v/>
      </c>
      <c r="G384" s="117"/>
      <c r="H384" s="117"/>
      <c r="I384" s="117"/>
      <c r="J384" s="84"/>
      <c r="L384" s="75" t="str">
        <f t="shared" si="32"/>
        <v/>
      </c>
      <c r="M384" s="75" t="str">
        <f t="shared" si="33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9"/>
        <v/>
      </c>
      <c r="D385" s="72" t="str">
        <f t="shared" si="30"/>
        <v/>
      </c>
      <c r="E385" s="84"/>
      <c r="F385" s="122" t="str">
        <f t="shared" si="31"/>
        <v/>
      </c>
      <c r="G385" s="117"/>
      <c r="H385" s="117"/>
      <c r="I385" s="117"/>
      <c r="J385" s="84"/>
      <c r="L385" s="75" t="str">
        <f t="shared" si="32"/>
        <v/>
      </c>
      <c r="M385" s="75" t="str">
        <f t="shared" si="33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9"/>
        <v/>
      </c>
      <c r="D386" s="72" t="str">
        <f t="shared" si="30"/>
        <v/>
      </c>
      <c r="E386" s="84"/>
      <c r="F386" s="122" t="str">
        <f t="shared" si="31"/>
        <v/>
      </c>
      <c r="G386" s="117"/>
      <c r="H386" s="117"/>
      <c r="I386" s="117"/>
      <c r="J386" s="84"/>
      <c r="L386" s="75" t="str">
        <f t="shared" si="32"/>
        <v/>
      </c>
      <c r="M386" s="75" t="str">
        <f t="shared" si="33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29"/>
        <v/>
      </c>
      <c r="D387" s="72" t="str">
        <f t="shared" si="30"/>
        <v/>
      </c>
      <c r="E387" s="84"/>
      <c r="F387" s="122" t="str">
        <f t="shared" si="31"/>
        <v/>
      </c>
      <c r="G387" s="117"/>
      <c r="H387" s="117"/>
      <c r="I387" s="117"/>
      <c r="J387" s="84"/>
      <c r="L387" s="75" t="str">
        <f t="shared" si="32"/>
        <v/>
      </c>
      <c r="M387" s="75" t="str">
        <f t="shared" si="33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ref="C388:C451" si="34">IFERROR(VLOOKUP(E388,$R$6:$U$114,3,FALSE),"")</f>
        <v/>
      </c>
      <c r="D388" s="72" t="str">
        <f t="shared" ref="D388:D451" si="35">IFERROR(VLOOKUP(E388,$R$6:$U$114,4,FALSE),"")</f>
        <v/>
      </c>
      <c r="E388" s="84"/>
      <c r="F388" s="122" t="str">
        <f t="shared" ref="F388:F451" si="36">IFERROR(VLOOKUP(E388,$R$6:$U$114,2,FALSE),"")</f>
        <v/>
      </c>
      <c r="G388" s="117"/>
      <c r="H388" s="117"/>
      <c r="I388" s="117"/>
      <c r="J388" s="84"/>
      <c r="L388" s="75" t="str">
        <f t="shared" si="32"/>
        <v/>
      </c>
      <c r="M388" s="75" t="str">
        <f t="shared" si="33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4"/>
        <v/>
      </c>
      <c r="D389" s="72" t="str">
        <f t="shared" si="35"/>
        <v/>
      </c>
      <c r="E389" s="84"/>
      <c r="F389" s="122" t="str">
        <f t="shared" si="36"/>
        <v/>
      </c>
      <c r="G389" s="117"/>
      <c r="H389" s="117"/>
      <c r="I389" s="117"/>
      <c r="J389" s="84"/>
      <c r="L389" s="75" t="str">
        <f t="shared" ref="L389:L452" si="37">LEFT(E389,2)</f>
        <v/>
      </c>
      <c r="M389" s="75" t="str">
        <f t="shared" ref="M389:M452" si="38">LEFT(E389,3)</f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4"/>
        <v/>
      </c>
      <c r="D390" s="72" t="str">
        <f t="shared" si="35"/>
        <v/>
      </c>
      <c r="E390" s="84"/>
      <c r="F390" s="122" t="str">
        <f t="shared" si="36"/>
        <v/>
      </c>
      <c r="G390" s="117"/>
      <c r="H390" s="117"/>
      <c r="I390" s="117"/>
      <c r="J390" s="84"/>
      <c r="L390" s="75" t="str">
        <f t="shared" si="37"/>
        <v/>
      </c>
      <c r="M390" s="75" t="str">
        <f t="shared" si="38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4"/>
        <v/>
      </c>
      <c r="D391" s="72" t="str">
        <f t="shared" si="35"/>
        <v/>
      </c>
      <c r="E391" s="84"/>
      <c r="F391" s="122" t="str">
        <f t="shared" si="36"/>
        <v/>
      </c>
      <c r="G391" s="117"/>
      <c r="H391" s="117"/>
      <c r="I391" s="117"/>
      <c r="J391" s="84"/>
      <c r="L391" s="75" t="str">
        <f t="shared" si="37"/>
        <v/>
      </c>
      <c r="M391" s="75" t="str">
        <f t="shared" si="38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4"/>
        <v/>
      </c>
      <c r="D392" s="72" t="str">
        <f t="shared" si="35"/>
        <v/>
      </c>
      <c r="E392" s="84"/>
      <c r="F392" s="122" t="str">
        <f t="shared" si="36"/>
        <v/>
      </c>
      <c r="G392" s="117"/>
      <c r="H392" s="117"/>
      <c r="I392" s="117"/>
      <c r="J392" s="84"/>
      <c r="L392" s="75" t="str">
        <f t="shared" si="37"/>
        <v/>
      </c>
      <c r="M392" s="75" t="str">
        <f t="shared" si="38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4"/>
        <v/>
      </c>
      <c r="D393" s="72" t="str">
        <f t="shared" si="35"/>
        <v/>
      </c>
      <c r="E393" s="84"/>
      <c r="F393" s="122" t="str">
        <f t="shared" si="36"/>
        <v/>
      </c>
      <c r="G393" s="117"/>
      <c r="H393" s="117"/>
      <c r="I393" s="117"/>
      <c r="J393" s="84"/>
      <c r="L393" s="75" t="str">
        <f t="shared" si="37"/>
        <v/>
      </c>
      <c r="M393" s="75" t="str">
        <f t="shared" si="38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4"/>
        <v/>
      </c>
      <c r="D394" s="72" t="str">
        <f t="shared" si="35"/>
        <v/>
      </c>
      <c r="E394" s="84"/>
      <c r="F394" s="122" t="str">
        <f t="shared" si="36"/>
        <v/>
      </c>
      <c r="G394" s="117"/>
      <c r="H394" s="117"/>
      <c r="I394" s="117"/>
      <c r="J394" s="84"/>
      <c r="L394" s="75" t="str">
        <f t="shared" si="37"/>
        <v/>
      </c>
      <c r="M394" s="75" t="str">
        <f t="shared" si="38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4"/>
        <v/>
      </c>
      <c r="D395" s="72" t="str">
        <f t="shared" si="35"/>
        <v/>
      </c>
      <c r="E395" s="84"/>
      <c r="F395" s="122" t="str">
        <f t="shared" si="36"/>
        <v/>
      </c>
      <c r="G395" s="117"/>
      <c r="H395" s="117"/>
      <c r="I395" s="117"/>
      <c r="J395" s="84"/>
      <c r="L395" s="75" t="str">
        <f t="shared" si="37"/>
        <v/>
      </c>
      <c r="M395" s="75" t="str">
        <f t="shared" si="38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4"/>
        <v/>
      </c>
      <c r="D396" s="72" t="str">
        <f t="shared" si="35"/>
        <v/>
      </c>
      <c r="E396" s="84"/>
      <c r="F396" s="122" t="str">
        <f t="shared" si="36"/>
        <v/>
      </c>
      <c r="G396" s="117"/>
      <c r="H396" s="117"/>
      <c r="I396" s="117"/>
      <c r="J396" s="84"/>
      <c r="L396" s="75" t="str">
        <f t="shared" si="37"/>
        <v/>
      </c>
      <c r="M396" s="75" t="str">
        <f t="shared" si="38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4"/>
        <v/>
      </c>
      <c r="D397" s="72" t="str">
        <f t="shared" si="35"/>
        <v/>
      </c>
      <c r="E397" s="84"/>
      <c r="F397" s="122" t="str">
        <f t="shared" si="36"/>
        <v/>
      </c>
      <c r="G397" s="117"/>
      <c r="H397" s="117"/>
      <c r="I397" s="117"/>
      <c r="J397" s="84"/>
      <c r="L397" s="75" t="str">
        <f t="shared" si="37"/>
        <v/>
      </c>
      <c r="M397" s="75" t="str">
        <f t="shared" si="38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4"/>
        <v/>
      </c>
      <c r="D398" s="72" t="str">
        <f t="shared" si="35"/>
        <v/>
      </c>
      <c r="E398" s="84"/>
      <c r="F398" s="122" t="str">
        <f t="shared" si="36"/>
        <v/>
      </c>
      <c r="G398" s="117"/>
      <c r="H398" s="117"/>
      <c r="I398" s="117"/>
      <c r="J398" s="84"/>
      <c r="L398" s="75" t="str">
        <f t="shared" si="37"/>
        <v/>
      </c>
      <c r="M398" s="75" t="str">
        <f t="shared" si="38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4"/>
        <v/>
      </c>
      <c r="D399" s="72" t="str">
        <f t="shared" si="35"/>
        <v/>
      </c>
      <c r="E399" s="84"/>
      <c r="F399" s="122" t="str">
        <f t="shared" si="36"/>
        <v/>
      </c>
      <c r="G399" s="117"/>
      <c r="H399" s="117"/>
      <c r="I399" s="117"/>
      <c r="J399" s="84"/>
      <c r="L399" s="75" t="str">
        <f t="shared" si="37"/>
        <v/>
      </c>
      <c r="M399" s="75" t="str">
        <f t="shared" si="38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4"/>
        <v/>
      </c>
      <c r="D400" s="72" t="str">
        <f t="shared" si="35"/>
        <v/>
      </c>
      <c r="E400" s="84"/>
      <c r="F400" s="122" t="str">
        <f t="shared" si="36"/>
        <v/>
      </c>
      <c r="G400" s="117"/>
      <c r="H400" s="117"/>
      <c r="I400" s="117"/>
      <c r="J400" s="84"/>
      <c r="L400" s="75" t="str">
        <f t="shared" si="37"/>
        <v/>
      </c>
      <c r="M400" s="75" t="str">
        <f t="shared" si="38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4"/>
        <v/>
      </c>
      <c r="D401" s="72" t="str">
        <f t="shared" si="35"/>
        <v/>
      </c>
      <c r="E401" s="84"/>
      <c r="F401" s="122" t="str">
        <f t="shared" si="36"/>
        <v/>
      </c>
      <c r="G401" s="117"/>
      <c r="H401" s="117"/>
      <c r="I401" s="117"/>
      <c r="J401" s="84"/>
      <c r="L401" s="75" t="str">
        <f t="shared" si="37"/>
        <v/>
      </c>
      <c r="M401" s="75" t="str">
        <f t="shared" si="38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4"/>
        <v/>
      </c>
      <c r="D402" s="72" t="str">
        <f t="shared" si="35"/>
        <v/>
      </c>
      <c r="E402" s="84"/>
      <c r="F402" s="122" t="str">
        <f t="shared" si="36"/>
        <v/>
      </c>
      <c r="G402" s="117"/>
      <c r="H402" s="117"/>
      <c r="I402" s="117"/>
      <c r="J402" s="84"/>
      <c r="L402" s="75" t="str">
        <f t="shared" si="37"/>
        <v/>
      </c>
      <c r="M402" s="75" t="str">
        <f t="shared" si="38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4"/>
        <v/>
      </c>
      <c r="D403" s="72" t="str">
        <f t="shared" si="35"/>
        <v/>
      </c>
      <c r="E403" s="84"/>
      <c r="F403" s="122" t="str">
        <f t="shared" si="36"/>
        <v/>
      </c>
      <c r="G403" s="117"/>
      <c r="H403" s="117"/>
      <c r="I403" s="117"/>
      <c r="J403" s="84"/>
      <c r="L403" s="75" t="str">
        <f t="shared" si="37"/>
        <v/>
      </c>
      <c r="M403" s="75" t="str">
        <f t="shared" si="38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4"/>
        <v/>
      </c>
      <c r="D404" s="72" t="str">
        <f t="shared" si="35"/>
        <v/>
      </c>
      <c r="E404" s="84"/>
      <c r="F404" s="122" t="str">
        <f t="shared" si="36"/>
        <v/>
      </c>
      <c r="G404" s="117"/>
      <c r="H404" s="117"/>
      <c r="I404" s="117"/>
      <c r="J404" s="84"/>
      <c r="L404" s="75" t="str">
        <f t="shared" si="37"/>
        <v/>
      </c>
      <c r="M404" s="75" t="str">
        <f t="shared" si="38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4"/>
        <v/>
      </c>
      <c r="D405" s="72" t="str">
        <f t="shared" si="35"/>
        <v/>
      </c>
      <c r="E405" s="84"/>
      <c r="F405" s="122" t="str">
        <f t="shared" si="36"/>
        <v/>
      </c>
      <c r="G405" s="117"/>
      <c r="H405" s="117"/>
      <c r="I405" s="117"/>
      <c r="J405" s="84"/>
      <c r="L405" s="75" t="str">
        <f t="shared" si="37"/>
        <v/>
      </c>
      <c r="M405" s="75" t="str">
        <f t="shared" si="38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4"/>
        <v/>
      </c>
      <c r="D406" s="72" t="str">
        <f t="shared" si="35"/>
        <v/>
      </c>
      <c r="E406" s="84"/>
      <c r="F406" s="122" t="str">
        <f t="shared" si="36"/>
        <v/>
      </c>
      <c r="G406" s="117"/>
      <c r="H406" s="117"/>
      <c r="I406" s="117"/>
      <c r="J406" s="84"/>
      <c r="L406" s="75" t="str">
        <f t="shared" si="37"/>
        <v/>
      </c>
      <c r="M406" s="75" t="str">
        <f t="shared" si="38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4"/>
        <v/>
      </c>
      <c r="D407" s="72" t="str">
        <f t="shared" si="35"/>
        <v/>
      </c>
      <c r="E407" s="84"/>
      <c r="F407" s="122" t="str">
        <f t="shared" si="36"/>
        <v/>
      </c>
      <c r="G407" s="117"/>
      <c r="H407" s="117"/>
      <c r="I407" s="117"/>
      <c r="J407" s="84"/>
      <c r="L407" s="75" t="str">
        <f t="shared" si="37"/>
        <v/>
      </c>
      <c r="M407" s="75" t="str">
        <f t="shared" si="38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4"/>
        <v/>
      </c>
      <c r="D408" s="72" t="str">
        <f t="shared" si="35"/>
        <v/>
      </c>
      <c r="E408" s="84"/>
      <c r="F408" s="122" t="str">
        <f t="shared" si="36"/>
        <v/>
      </c>
      <c r="G408" s="117"/>
      <c r="H408" s="117"/>
      <c r="I408" s="117"/>
      <c r="J408" s="84"/>
      <c r="L408" s="75" t="str">
        <f t="shared" si="37"/>
        <v/>
      </c>
      <c r="M408" s="75" t="str">
        <f t="shared" si="38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4"/>
        <v/>
      </c>
      <c r="D409" s="72" t="str">
        <f t="shared" si="35"/>
        <v/>
      </c>
      <c r="E409" s="84"/>
      <c r="F409" s="122" t="str">
        <f t="shared" si="36"/>
        <v/>
      </c>
      <c r="G409" s="117"/>
      <c r="H409" s="117"/>
      <c r="I409" s="117"/>
      <c r="J409" s="84"/>
      <c r="L409" s="75" t="str">
        <f t="shared" si="37"/>
        <v/>
      </c>
      <c r="M409" s="75" t="str">
        <f t="shared" si="38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4"/>
        <v/>
      </c>
      <c r="D410" s="72" t="str">
        <f t="shared" si="35"/>
        <v/>
      </c>
      <c r="E410" s="84"/>
      <c r="F410" s="122" t="str">
        <f t="shared" si="36"/>
        <v/>
      </c>
      <c r="G410" s="117"/>
      <c r="H410" s="117"/>
      <c r="I410" s="117"/>
      <c r="J410" s="84"/>
      <c r="L410" s="75" t="str">
        <f t="shared" si="37"/>
        <v/>
      </c>
      <c r="M410" s="75" t="str">
        <f t="shared" si="38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4"/>
        <v/>
      </c>
      <c r="D411" s="72" t="str">
        <f t="shared" si="35"/>
        <v/>
      </c>
      <c r="E411" s="84"/>
      <c r="F411" s="122" t="str">
        <f t="shared" si="36"/>
        <v/>
      </c>
      <c r="G411" s="117"/>
      <c r="H411" s="117"/>
      <c r="I411" s="117"/>
      <c r="J411" s="84"/>
      <c r="L411" s="75" t="str">
        <f t="shared" si="37"/>
        <v/>
      </c>
      <c r="M411" s="75" t="str">
        <f t="shared" si="38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4"/>
        <v/>
      </c>
      <c r="D412" s="72" t="str">
        <f t="shared" si="35"/>
        <v/>
      </c>
      <c r="E412" s="84"/>
      <c r="F412" s="122" t="str">
        <f t="shared" si="36"/>
        <v/>
      </c>
      <c r="G412" s="117"/>
      <c r="H412" s="117"/>
      <c r="I412" s="117"/>
      <c r="J412" s="84"/>
      <c r="L412" s="75" t="str">
        <f t="shared" si="37"/>
        <v/>
      </c>
      <c r="M412" s="75" t="str">
        <f t="shared" si="38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4"/>
        <v/>
      </c>
      <c r="D413" s="72" t="str">
        <f t="shared" si="35"/>
        <v/>
      </c>
      <c r="E413" s="84"/>
      <c r="F413" s="122" t="str">
        <f t="shared" si="36"/>
        <v/>
      </c>
      <c r="G413" s="117"/>
      <c r="H413" s="117"/>
      <c r="I413" s="117"/>
      <c r="J413" s="84"/>
      <c r="L413" s="75" t="str">
        <f t="shared" si="37"/>
        <v/>
      </c>
      <c r="M413" s="75" t="str">
        <f t="shared" si="38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4"/>
        <v/>
      </c>
      <c r="D414" s="72" t="str">
        <f t="shared" si="35"/>
        <v/>
      </c>
      <c r="E414" s="84"/>
      <c r="F414" s="122" t="str">
        <f t="shared" si="36"/>
        <v/>
      </c>
      <c r="G414" s="117"/>
      <c r="H414" s="117"/>
      <c r="I414" s="117"/>
      <c r="J414" s="84"/>
      <c r="L414" s="75" t="str">
        <f t="shared" si="37"/>
        <v/>
      </c>
      <c r="M414" s="75" t="str">
        <f t="shared" si="38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4"/>
        <v/>
      </c>
      <c r="D415" s="72" t="str">
        <f t="shared" si="35"/>
        <v/>
      </c>
      <c r="E415" s="84"/>
      <c r="F415" s="122" t="str">
        <f t="shared" si="36"/>
        <v/>
      </c>
      <c r="G415" s="117"/>
      <c r="H415" s="117"/>
      <c r="I415" s="117"/>
      <c r="J415" s="84"/>
      <c r="L415" s="75" t="str">
        <f t="shared" si="37"/>
        <v/>
      </c>
      <c r="M415" s="75" t="str">
        <f t="shared" si="38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4"/>
        <v/>
      </c>
      <c r="D416" s="72" t="str">
        <f t="shared" si="35"/>
        <v/>
      </c>
      <c r="E416" s="84"/>
      <c r="F416" s="122" t="str">
        <f t="shared" si="36"/>
        <v/>
      </c>
      <c r="G416" s="117"/>
      <c r="H416" s="117"/>
      <c r="I416" s="117"/>
      <c r="J416" s="84"/>
      <c r="L416" s="75" t="str">
        <f t="shared" si="37"/>
        <v/>
      </c>
      <c r="M416" s="75" t="str">
        <f t="shared" si="38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4"/>
        <v/>
      </c>
      <c r="D417" s="72" t="str">
        <f t="shared" si="35"/>
        <v/>
      </c>
      <c r="E417" s="84"/>
      <c r="F417" s="122" t="str">
        <f t="shared" si="36"/>
        <v/>
      </c>
      <c r="G417" s="117"/>
      <c r="H417" s="117"/>
      <c r="I417" s="117"/>
      <c r="J417" s="84"/>
      <c r="L417" s="75" t="str">
        <f t="shared" si="37"/>
        <v/>
      </c>
      <c r="M417" s="75" t="str">
        <f t="shared" si="38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4"/>
        <v/>
      </c>
      <c r="D418" s="72" t="str">
        <f t="shared" si="35"/>
        <v/>
      </c>
      <c r="E418" s="84"/>
      <c r="F418" s="122" t="str">
        <f t="shared" si="36"/>
        <v/>
      </c>
      <c r="G418" s="117"/>
      <c r="H418" s="117"/>
      <c r="I418" s="117"/>
      <c r="J418" s="84"/>
      <c r="L418" s="75" t="str">
        <f t="shared" si="37"/>
        <v/>
      </c>
      <c r="M418" s="75" t="str">
        <f t="shared" si="38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4"/>
        <v/>
      </c>
      <c r="D419" s="72" t="str">
        <f t="shared" si="35"/>
        <v/>
      </c>
      <c r="E419" s="84"/>
      <c r="F419" s="122" t="str">
        <f t="shared" si="36"/>
        <v/>
      </c>
      <c r="G419" s="117"/>
      <c r="H419" s="117"/>
      <c r="I419" s="117"/>
      <c r="J419" s="84"/>
      <c r="L419" s="75" t="str">
        <f t="shared" si="37"/>
        <v/>
      </c>
      <c r="M419" s="75" t="str">
        <f t="shared" si="38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4"/>
        <v/>
      </c>
      <c r="D420" s="72" t="str">
        <f t="shared" si="35"/>
        <v/>
      </c>
      <c r="E420" s="84"/>
      <c r="F420" s="122" t="str">
        <f t="shared" si="36"/>
        <v/>
      </c>
      <c r="G420" s="117"/>
      <c r="H420" s="117"/>
      <c r="I420" s="117"/>
      <c r="J420" s="84"/>
      <c r="L420" s="75" t="str">
        <f t="shared" si="37"/>
        <v/>
      </c>
      <c r="M420" s="75" t="str">
        <f t="shared" si="38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4"/>
        <v/>
      </c>
      <c r="D421" s="72" t="str">
        <f t="shared" si="35"/>
        <v/>
      </c>
      <c r="E421" s="84"/>
      <c r="F421" s="122" t="str">
        <f t="shared" si="36"/>
        <v/>
      </c>
      <c r="G421" s="117"/>
      <c r="H421" s="117"/>
      <c r="I421" s="117"/>
      <c r="J421" s="84"/>
      <c r="L421" s="75" t="str">
        <f t="shared" si="37"/>
        <v/>
      </c>
      <c r="M421" s="75" t="str">
        <f t="shared" si="38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4"/>
        <v/>
      </c>
      <c r="D422" s="72" t="str">
        <f t="shared" si="35"/>
        <v/>
      </c>
      <c r="E422" s="84"/>
      <c r="F422" s="122" t="str">
        <f t="shared" si="36"/>
        <v/>
      </c>
      <c r="G422" s="117"/>
      <c r="H422" s="117"/>
      <c r="I422" s="117"/>
      <c r="J422" s="84"/>
      <c r="L422" s="75" t="str">
        <f t="shared" si="37"/>
        <v/>
      </c>
      <c r="M422" s="75" t="str">
        <f t="shared" si="38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4"/>
        <v/>
      </c>
      <c r="D423" s="72" t="str">
        <f t="shared" si="35"/>
        <v/>
      </c>
      <c r="E423" s="84"/>
      <c r="F423" s="122" t="str">
        <f t="shared" si="36"/>
        <v/>
      </c>
      <c r="G423" s="117"/>
      <c r="H423" s="117"/>
      <c r="I423" s="117"/>
      <c r="J423" s="84"/>
      <c r="L423" s="75" t="str">
        <f t="shared" si="37"/>
        <v/>
      </c>
      <c r="M423" s="75" t="str">
        <f t="shared" si="38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4"/>
        <v/>
      </c>
      <c r="D424" s="72" t="str">
        <f t="shared" si="35"/>
        <v/>
      </c>
      <c r="E424" s="84"/>
      <c r="F424" s="122" t="str">
        <f t="shared" si="36"/>
        <v/>
      </c>
      <c r="G424" s="117"/>
      <c r="H424" s="117"/>
      <c r="I424" s="117"/>
      <c r="J424" s="84"/>
      <c r="L424" s="75" t="str">
        <f t="shared" si="37"/>
        <v/>
      </c>
      <c r="M424" s="75" t="str">
        <f t="shared" si="38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4"/>
        <v/>
      </c>
      <c r="D425" s="72" t="str">
        <f t="shared" si="35"/>
        <v/>
      </c>
      <c r="E425" s="84"/>
      <c r="F425" s="122" t="str">
        <f t="shared" si="36"/>
        <v/>
      </c>
      <c r="G425" s="117"/>
      <c r="H425" s="117"/>
      <c r="I425" s="117"/>
      <c r="J425" s="84"/>
      <c r="L425" s="75" t="str">
        <f t="shared" si="37"/>
        <v/>
      </c>
      <c r="M425" s="75" t="str">
        <f t="shared" si="38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4"/>
        <v/>
      </c>
      <c r="D426" s="72" t="str">
        <f t="shared" si="35"/>
        <v/>
      </c>
      <c r="E426" s="84"/>
      <c r="F426" s="122" t="str">
        <f t="shared" si="36"/>
        <v/>
      </c>
      <c r="G426" s="117"/>
      <c r="H426" s="117"/>
      <c r="I426" s="117"/>
      <c r="J426" s="84"/>
      <c r="L426" s="75" t="str">
        <f t="shared" si="37"/>
        <v/>
      </c>
      <c r="M426" s="75" t="str">
        <f t="shared" si="38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4"/>
        <v/>
      </c>
      <c r="D427" s="72" t="str">
        <f t="shared" si="35"/>
        <v/>
      </c>
      <c r="E427" s="84"/>
      <c r="F427" s="122" t="str">
        <f t="shared" si="36"/>
        <v/>
      </c>
      <c r="G427" s="117"/>
      <c r="H427" s="117"/>
      <c r="I427" s="117"/>
      <c r="J427" s="84"/>
      <c r="L427" s="75" t="str">
        <f t="shared" si="37"/>
        <v/>
      </c>
      <c r="M427" s="75" t="str">
        <f t="shared" si="38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4"/>
        <v/>
      </c>
      <c r="D428" s="72" t="str">
        <f t="shared" si="35"/>
        <v/>
      </c>
      <c r="E428" s="84"/>
      <c r="F428" s="122" t="str">
        <f t="shared" si="36"/>
        <v/>
      </c>
      <c r="G428" s="117"/>
      <c r="H428" s="117"/>
      <c r="I428" s="117"/>
      <c r="J428" s="84"/>
      <c r="L428" s="75" t="str">
        <f t="shared" si="37"/>
        <v/>
      </c>
      <c r="M428" s="75" t="str">
        <f t="shared" si="38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4"/>
        <v/>
      </c>
      <c r="D429" s="72" t="str">
        <f t="shared" si="35"/>
        <v/>
      </c>
      <c r="E429" s="84"/>
      <c r="F429" s="122" t="str">
        <f t="shared" si="36"/>
        <v/>
      </c>
      <c r="G429" s="117"/>
      <c r="H429" s="117"/>
      <c r="I429" s="117"/>
      <c r="J429" s="84"/>
      <c r="L429" s="75" t="str">
        <f t="shared" si="37"/>
        <v/>
      </c>
      <c r="M429" s="75" t="str">
        <f t="shared" si="38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4"/>
        <v/>
      </c>
      <c r="D430" s="72" t="str">
        <f t="shared" si="35"/>
        <v/>
      </c>
      <c r="E430" s="84"/>
      <c r="F430" s="122" t="str">
        <f t="shared" si="36"/>
        <v/>
      </c>
      <c r="G430" s="117"/>
      <c r="H430" s="117"/>
      <c r="I430" s="117"/>
      <c r="J430" s="84"/>
      <c r="L430" s="75" t="str">
        <f t="shared" si="37"/>
        <v/>
      </c>
      <c r="M430" s="75" t="str">
        <f t="shared" si="38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4"/>
        <v/>
      </c>
      <c r="D431" s="72" t="str">
        <f t="shared" si="35"/>
        <v/>
      </c>
      <c r="E431" s="84"/>
      <c r="F431" s="122" t="str">
        <f t="shared" si="36"/>
        <v/>
      </c>
      <c r="G431" s="117"/>
      <c r="H431" s="117"/>
      <c r="I431" s="117"/>
      <c r="J431" s="84"/>
      <c r="L431" s="75" t="str">
        <f t="shared" si="37"/>
        <v/>
      </c>
      <c r="M431" s="75" t="str">
        <f t="shared" si="38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4"/>
        <v/>
      </c>
      <c r="D432" s="72" t="str">
        <f t="shared" si="35"/>
        <v/>
      </c>
      <c r="E432" s="84"/>
      <c r="F432" s="122" t="str">
        <f t="shared" si="36"/>
        <v/>
      </c>
      <c r="G432" s="117"/>
      <c r="H432" s="117"/>
      <c r="I432" s="117"/>
      <c r="J432" s="84"/>
      <c r="L432" s="75" t="str">
        <f t="shared" si="37"/>
        <v/>
      </c>
      <c r="M432" s="75" t="str">
        <f t="shared" si="38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4"/>
        <v/>
      </c>
      <c r="D433" s="72" t="str">
        <f t="shared" si="35"/>
        <v/>
      </c>
      <c r="E433" s="84"/>
      <c r="F433" s="122" t="str">
        <f t="shared" si="36"/>
        <v/>
      </c>
      <c r="G433" s="117"/>
      <c r="H433" s="117"/>
      <c r="I433" s="117"/>
      <c r="J433" s="84"/>
      <c r="L433" s="75" t="str">
        <f t="shared" si="37"/>
        <v/>
      </c>
      <c r="M433" s="75" t="str">
        <f t="shared" si="38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4"/>
        <v/>
      </c>
      <c r="D434" s="72" t="str">
        <f t="shared" si="35"/>
        <v/>
      </c>
      <c r="E434" s="84"/>
      <c r="F434" s="122" t="str">
        <f t="shared" si="36"/>
        <v/>
      </c>
      <c r="G434" s="117"/>
      <c r="H434" s="117"/>
      <c r="I434" s="117"/>
      <c r="J434" s="84"/>
      <c r="L434" s="75" t="str">
        <f t="shared" si="37"/>
        <v/>
      </c>
      <c r="M434" s="75" t="str">
        <f t="shared" si="38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4"/>
        <v/>
      </c>
      <c r="D435" s="72" t="str">
        <f t="shared" si="35"/>
        <v/>
      </c>
      <c r="E435" s="84"/>
      <c r="F435" s="122" t="str">
        <f t="shared" si="36"/>
        <v/>
      </c>
      <c r="G435" s="117"/>
      <c r="H435" s="117"/>
      <c r="I435" s="117"/>
      <c r="J435" s="84"/>
      <c r="L435" s="75" t="str">
        <f t="shared" si="37"/>
        <v/>
      </c>
      <c r="M435" s="75" t="str">
        <f t="shared" si="38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4"/>
        <v/>
      </c>
      <c r="D436" s="72" t="str">
        <f t="shared" si="35"/>
        <v/>
      </c>
      <c r="E436" s="84"/>
      <c r="F436" s="122" t="str">
        <f t="shared" si="36"/>
        <v/>
      </c>
      <c r="G436" s="117"/>
      <c r="H436" s="117"/>
      <c r="I436" s="117"/>
      <c r="J436" s="84"/>
      <c r="L436" s="75" t="str">
        <f t="shared" si="37"/>
        <v/>
      </c>
      <c r="M436" s="75" t="str">
        <f t="shared" si="38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4"/>
        <v/>
      </c>
      <c r="D437" s="72" t="str">
        <f t="shared" si="35"/>
        <v/>
      </c>
      <c r="E437" s="84"/>
      <c r="F437" s="122" t="str">
        <f t="shared" si="36"/>
        <v/>
      </c>
      <c r="G437" s="117"/>
      <c r="H437" s="117"/>
      <c r="I437" s="117"/>
      <c r="J437" s="84"/>
      <c r="L437" s="75" t="str">
        <f t="shared" si="37"/>
        <v/>
      </c>
      <c r="M437" s="75" t="str">
        <f t="shared" si="38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4"/>
        <v/>
      </c>
      <c r="D438" s="72" t="str">
        <f t="shared" si="35"/>
        <v/>
      </c>
      <c r="E438" s="84"/>
      <c r="F438" s="122" t="str">
        <f t="shared" si="36"/>
        <v/>
      </c>
      <c r="G438" s="117"/>
      <c r="H438" s="117"/>
      <c r="I438" s="117"/>
      <c r="J438" s="84"/>
      <c r="L438" s="75" t="str">
        <f t="shared" si="37"/>
        <v/>
      </c>
      <c r="M438" s="75" t="str">
        <f t="shared" si="38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4"/>
        <v/>
      </c>
      <c r="D439" s="72" t="str">
        <f t="shared" si="35"/>
        <v/>
      </c>
      <c r="E439" s="84"/>
      <c r="F439" s="122" t="str">
        <f t="shared" si="36"/>
        <v/>
      </c>
      <c r="G439" s="117"/>
      <c r="H439" s="117"/>
      <c r="I439" s="117"/>
      <c r="J439" s="84"/>
      <c r="L439" s="75" t="str">
        <f t="shared" si="37"/>
        <v/>
      </c>
      <c r="M439" s="75" t="str">
        <f t="shared" si="38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4"/>
        <v/>
      </c>
      <c r="D440" s="72" t="str">
        <f t="shared" si="35"/>
        <v/>
      </c>
      <c r="E440" s="84"/>
      <c r="F440" s="122" t="str">
        <f t="shared" si="36"/>
        <v/>
      </c>
      <c r="G440" s="117"/>
      <c r="H440" s="117"/>
      <c r="I440" s="117"/>
      <c r="J440" s="84"/>
      <c r="L440" s="75" t="str">
        <f t="shared" si="37"/>
        <v/>
      </c>
      <c r="M440" s="75" t="str">
        <f t="shared" si="38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4"/>
        <v/>
      </c>
      <c r="D441" s="72" t="str">
        <f t="shared" si="35"/>
        <v/>
      </c>
      <c r="E441" s="84"/>
      <c r="F441" s="122" t="str">
        <f t="shared" si="36"/>
        <v/>
      </c>
      <c r="G441" s="117"/>
      <c r="H441" s="117"/>
      <c r="I441" s="117"/>
      <c r="J441" s="84"/>
      <c r="L441" s="75" t="str">
        <f t="shared" si="37"/>
        <v/>
      </c>
      <c r="M441" s="75" t="str">
        <f t="shared" si="38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4"/>
        <v/>
      </c>
      <c r="D442" s="72" t="str">
        <f t="shared" si="35"/>
        <v/>
      </c>
      <c r="E442" s="84"/>
      <c r="F442" s="122" t="str">
        <f t="shared" si="36"/>
        <v/>
      </c>
      <c r="G442" s="117"/>
      <c r="H442" s="117"/>
      <c r="I442" s="117"/>
      <c r="J442" s="84"/>
      <c r="L442" s="75" t="str">
        <f t="shared" si="37"/>
        <v/>
      </c>
      <c r="M442" s="75" t="str">
        <f t="shared" si="38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4"/>
        <v/>
      </c>
      <c r="D443" s="72" t="str">
        <f t="shared" si="35"/>
        <v/>
      </c>
      <c r="E443" s="84"/>
      <c r="F443" s="122" t="str">
        <f t="shared" si="36"/>
        <v/>
      </c>
      <c r="G443" s="117"/>
      <c r="H443" s="117"/>
      <c r="I443" s="117"/>
      <c r="J443" s="84"/>
      <c r="L443" s="75" t="str">
        <f t="shared" si="37"/>
        <v/>
      </c>
      <c r="M443" s="75" t="str">
        <f t="shared" si="38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4"/>
        <v/>
      </c>
      <c r="D444" s="72" t="str">
        <f t="shared" si="35"/>
        <v/>
      </c>
      <c r="E444" s="84"/>
      <c r="F444" s="122" t="str">
        <f t="shared" si="36"/>
        <v/>
      </c>
      <c r="G444" s="117"/>
      <c r="H444" s="117"/>
      <c r="I444" s="117"/>
      <c r="J444" s="84"/>
      <c r="L444" s="75" t="str">
        <f t="shared" si="37"/>
        <v/>
      </c>
      <c r="M444" s="75" t="str">
        <f t="shared" si="38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4"/>
        <v/>
      </c>
      <c r="D445" s="72" t="str">
        <f t="shared" si="35"/>
        <v/>
      </c>
      <c r="E445" s="84"/>
      <c r="F445" s="122" t="str">
        <f t="shared" si="36"/>
        <v/>
      </c>
      <c r="G445" s="117"/>
      <c r="H445" s="117"/>
      <c r="I445" s="117"/>
      <c r="J445" s="84"/>
      <c r="L445" s="75" t="str">
        <f t="shared" si="37"/>
        <v/>
      </c>
      <c r="M445" s="75" t="str">
        <f t="shared" si="38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4"/>
        <v/>
      </c>
      <c r="D446" s="72" t="str">
        <f t="shared" si="35"/>
        <v/>
      </c>
      <c r="E446" s="84"/>
      <c r="F446" s="122" t="str">
        <f t="shared" si="36"/>
        <v/>
      </c>
      <c r="G446" s="117"/>
      <c r="H446" s="117"/>
      <c r="I446" s="117"/>
      <c r="J446" s="84"/>
      <c r="L446" s="75" t="str">
        <f t="shared" si="37"/>
        <v/>
      </c>
      <c r="M446" s="75" t="str">
        <f t="shared" si="38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4"/>
        <v/>
      </c>
      <c r="D447" s="72" t="str">
        <f t="shared" si="35"/>
        <v/>
      </c>
      <c r="E447" s="84"/>
      <c r="F447" s="122" t="str">
        <f t="shared" si="36"/>
        <v/>
      </c>
      <c r="G447" s="117"/>
      <c r="H447" s="117"/>
      <c r="I447" s="117"/>
      <c r="J447" s="84"/>
      <c r="L447" s="75" t="str">
        <f t="shared" si="37"/>
        <v/>
      </c>
      <c r="M447" s="75" t="str">
        <f t="shared" si="38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4"/>
        <v/>
      </c>
      <c r="D448" s="72" t="str">
        <f t="shared" si="35"/>
        <v/>
      </c>
      <c r="E448" s="84"/>
      <c r="F448" s="122" t="str">
        <f t="shared" si="36"/>
        <v/>
      </c>
      <c r="G448" s="117"/>
      <c r="H448" s="117"/>
      <c r="I448" s="117"/>
      <c r="J448" s="84"/>
      <c r="L448" s="75" t="str">
        <f t="shared" si="37"/>
        <v/>
      </c>
      <c r="M448" s="75" t="str">
        <f t="shared" si="38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4"/>
        <v/>
      </c>
      <c r="D449" s="72" t="str">
        <f t="shared" si="35"/>
        <v/>
      </c>
      <c r="E449" s="84"/>
      <c r="F449" s="122" t="str">
        <f t="shared" si="36"/>
        <v/>
      </c>
      <c r="G449" s="117"/>
      <c r="H449" s="117"/>
      <c r="I449" s="117"/>
      <c r="J449" s="84"/>
      <c r="L449" s="75" t="str">
        <f t="shared" si="37"/>
        <v/>
      </c>
      <c r="M449" s="75" t="str">
        <f t="shared" si="38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4"/>
        <v/>
      </c>
      <c r="D450" s="72" t="str">
        <f t="shared" si="35"/>
        <v/>
      </c>
      <c r="E450" s="84"/>
      <c r="F450" s="122" t="str">
        <f t="shared" si="36"/>
        <v/>
      </c>
      <c r="G450" s="117"/>
      <c r="H450" s="117"/>
      <c r="I450" s="117"/>
      <c r="J450" s="84"/>
      <c r="L450" s="75" t="str">
        <f t="shared" si="37"/>
        <v/>
      </c>
      <c r="M450" s="75" t="str">
        <f t="shared" si="38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4"/>
        <v/>
      </c>
      <c r="D451" s="72" t="str">
        <f t="shared" si="35"/>
        <v/>
      </c>
      <c r="E451" s="84"/>
      <c r="F451" s="122" t="str">
        <f t="shared" si="36"/>
        <v/>
      </c>
      <c r="G451" s="117"/>
      <c r="H451" s="117"/>
      <c r="I451" s="117"/>
      <c r="J451" s="84"/>
      <c r="L451" s="75" t="str">
        <f t="shared" si="37"/>
        <v/>
      </c>
      <c r="M451" s="75" t="str">
        <f t="shared" si="38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ref="C452:C502" si="39">IFERROR(VLOOKUP(E452,$R$6:$U$114,3,FALSE),"")</f>
        <v/>
      </c>
      <c r="D452" s="72" t="str">
        <f t="shared" ref="D452:D502" si="40">IFERROR(VLOOKUP(E452,$R$6:$U$114,4,FALSE),"")</f>
        <v/>
      </c>
      <c r="E452" s="84"/>
      <c r="F452" s="122" t="str">
        <f t="shared" ref="F452:F502" si="41">IFERROR(VLOOKUP(E452,$R$6:$U$114,2,FALSE),"")</f>
        <v/>
      </c>
      <c r="G452" s="117"/>
      <c r="H452" s="117"/>
      <c r="I452" s="117"/>
      <c r="J452" s="84"/>
      <c r="L452" s="75" t="str">
        <f t="shared" si="37"/>
        <v/>
      </c>
      <c r="M452" s="75" t="str">
        <f t="shared" si="38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9"/>
        <v/>
      </c>
      <c r="D453" s="72" t="str">
        <f t="shared" si="40"/>
        <v/>
      </c>
      <c r="E453" s="84"/>
      <c r="F453" s="122" t="str">
        <f t="shared" si="41"/>
        <v/>
      </c>
      <c r="G453" s="117"/>
      <c r="H453" s="117"/>
      <c r="I453" s="117"/>
      <c r="J453" s="84"/>
      <c r="L453" s="75" t="str">
        <f t="shared" ref="L453:L502" si="42">LEFT(E453,2)</f>
        <v/>
      </c>
      <c r="M453" s="75" t="str">
        <f t="shared" ref="M453:M502" si="43">LEFT(E453,3)</f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9"/>
        <v/>
      </c>
      <c r="D454" s="72" t="str">
        <f t="shared" si="40"/>
        <v/>
      </c>
      <c r="E454" s="84"/>
      <c r="F454" s="122" t="str">
        <f t="shared" si="41"/>
        <v/>
      </c>
      <c r="G454" s="117"/>
      <c r="H454" s="117"/>
      <c r="I454" s="117"/>
      <c r="J454" s="84"/>
      <c r="L454" s="75" t="str">
        <f t="shared" si="42"/>
        <v/>
      </c>
      <c r="M454" s="75" t="str">
        <f t="shared" si="43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9"/>
        <v/>
      </c>
      <c r="D455" s="72" t="str">
        <f t="shared" si="40"/>
        <v/>
      </c>
      <c r="E455" s="84"/>
      <c r="F455" s="122" t="str">
        <f t="shared" si="41"/>
        <v/>
      </c>
      <c r="G455" s="117"/>
      <c r="H455" s="117"/>
      <c r="I455" s="117"/>
      <c r="J455" s="84"/>
      <c r="L455" s="75" t="str">
        <f t="shared" si="42"/>
        <v/>
      </c>
      <c r="M455" s="75" t="str">
        <f t="shared" si="43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9"/>
        <v/>
      </c>
      <c r="D456" s="72" t="str">
        <f t="shared" si="40"/>
        <v/>
      </c>
      <c r="E456" s="84"/>
      <c r="F456" s="122" t="str">
        <f t="shared" si="41"/>
        <v/>
      </c>
      <c r="G456" s="117"/>
      <c r="H456" s="117"/>
      <c r="I456" s="117"/>
      <c r="J456" s="84"/>
      <c r="L456" s="75" t="str">
        <f t="shared" si="42"/>
        <v/>
      </c>
      <c r="M456" s="75" t="str">
        <f t="shared" si="43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9"/>
        <v/>
      </c>
      <c r="D457" s="72" t="str">
        <f t="shared" si="40"/>
        <v/>
      </c>
      <c r="E457" s="84"/>
      <c r="F457" s="122" t="str">
        <f t="shared" si="41"/>
        <v/>
      </c>
      <c r="G457" s="117"/>
      <c r="H457" s="117"/>
      <c r="I457" s="117"/>
      <c r="J457" s="84"/>
      <c r="L457" s="75" t="str">
        <f t="shared" si="42"/>
        <v/>
      </c>
      <c r="M457" s="75" t="str">
        <f t="shared" si="43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9"/>
        <v/>
      </c>
      <c r="D458" s="72" t="str">
        <f t="shared" si="40"/>
        <v/>
      </c>
      <c r="E458" s="84"/>
      <c r="F458" s="122" t="str">
        <f t="shared" si="41"/>
        <v/>
      </c>
      <c r="G458" s="117"/>
      <c r="H458" s="117"/>
      <c r="I458" s="117"/>
      <c r="J458" s="84"/>
      <c r="L458" s="75" t="str">
        <f t="shared" si="42"/>
        <v/>
      </c>
      <c r="M458" s="75" t="str">
        <f t="shared" si="43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9"/>
        <v/>
      </c>
      <c r="D459" s="72" t="str">
        <f t="shared" si="40"/>
        <v/>
      </c>
      <c r="E459" s="84"/>
      <c r="F459" s="122" t="str">
        <f t="shared" si="41"/>
        <v/>
      </c>
      <c r="G459" s="117"/>
      <c r="H459" s="117"/>
      <c r="I459" s="117"/>
      <c r="J459" s="84"/>
      <c r="L459" s="75" t="str">
        <f t="shared" si="42"/>
        <v/>
      </c>
      <c r="M459" s="75" t="str">
        <f t="shared" si="43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9"/>
        <v/>
      </c>
      <c r="D460" s="72" t="str">
        <f t="shared" si="40"/>
        <v/>
      </c>
      <c r="E460" s="84"/>
      <c r="F460" s="122" t="str">
        <f t="shared" si="41"/>
        <v/>
      </c>
      <c r="G460" s="117"/>
      <c r="H460" s="117"/>
      <c r="I460" s="117"/>
      <c r="J460" s="84"/>
      <c r="L460" s="75" t="str">
        <f t="shared" si="42"/>
        <v/>
      </c>
      <c r="M460" s="75" t="str">
        <f t="shared" si="43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9"/>
        <v/>
      </c>
      <c r="D461" s="72" t="str">
        <f t="shared" si="40"/>
        <v/>
      </c>
      <c r="E461" s="84"/>
      <c r="F461" s="122" t="str">
        <f t="shared" si="41"/>
        <v/>
      </c>
      <c r="G461" s="117"/>
      <c r="H461" s="117"/>
      <c r="I461" s="117"/>
      <c r="J461" s="84"/>
      <c r="L461" s="75" t="str">
        <f t="shared" si="42"/>
        <v/>
      </c>
      <c r="M461" s="75" t="str">
        <f t="shared" si="43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9"/>
        <v/>
      </c>
      <c r="D462" s="72" t="str">
        <f t="shared" si="40"/>
        <v/>
      </c>
      <c r="E462" s="84"/>
      <c r="F462" s="122" t="str">
        <f t="shared" si="41"/>
        <v/>
      </c>
      <c r="G462" s="117"/>
      <c r="H462" s="117"/>
      <c r="I462" s="117"/>
      <c r="J462" s="84"/>
      <c r="L462" s="75" t="str">
        <f t="shared" si="42"/>
        <v/>
      </c>
      <c r="M462" s="75" t="str">
        <f t="shared" si="43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9"/>
        <v/>
      </c>
      <c r="D463" s="72" t="str">
        <f t="shared" si="40"/>
        <v/>
      </c>
      <c r="E463" s="84"/>
      <c r="F463" s="122" t="str">
        <f t="shared" si="41"/>
        <v/>
      </c>
      <c r="G463" s="117"/>
      <c r="H463" s="117"/>
      <c r="I463" s="117"/>
      <c r="J463" s="84"/>
      <c r="L463" s="75" t="str">
        <f t="shared" si="42"/>
        <v/>
      </c>
      <c r="M463" s="75" t="str">
        <f t="shared" si="43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9"/>
        <v/>
      </c>
      <c r="D464" s="72" t="str">
        <f t="shared" si="40"/>
        <v/>
      </c>
      <c r="E464" s="84"/>
      <c r="F464" s="122" t="str">
        <f t="shared" si="41"/>
        <v/>
      </c>
      <c r="G464" s="117"/>
      <c r="H464" s="117"/>
      <c r="I464" s="117"/>
      <c r="J464" s="84"/>
      <c r="L464" s="75" t="str">
        <f t="shared" si="42"/>
        <v/>
      </c>
      <c r="M464" s="75" t="str">
        <f t="shared" si="43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9"/>
        <v/>
      </c>
      <c r="D465" s="72" t="str">
        <f t="shared" si="40"/>
        <v/>
      </c>
      <c r="E465" s="84"/>
      <c r="F465" s="122" t="str">
        <f t="shared" si="41"/>
        <v/>
      </c>
      <c r="G465" s="117"/>
      <c r="H465" s="117"/>
      <c r="I465" s="117"/>
      <c r="J465" s="84"/>
      <c r="L465" s="75" t="str">
        <f t="shared" si="42"/>
        <v/>
      </c>
      <c r="M465" s="75" t="str">
        <f t="shared" si="43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9"/>
        <v/>
      </c>
      <c r="D466" s="72" t="str">
        <f t="shared" si="40"/>
        <v/>
      </c>
      <c r="E466" s="84"/>
      <c r="F466" s="122" t="str">
        <f t="shared" si="41"/>
        <v/>
      </c>
      <c r="G466" s="117"/>
      <c r="H466" s="117"/>
      <c r="I466" s="117"/>
      <c r="J466" s="84"/>
      <c r="L466" s="75" t="str">
        <f t="shared" si="42"/>
        <v/>
      </c>
      <c r="M466" s="75" t="str">
        <f t="shared" si="43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9"/>
        <v/>
      </c>
      <c r="D467" s="72" t="str">
        <f t="shared" si="40"/>
        <v/>
      </c>
      <c r="E467" s="84"/>
      <c r="F467" s="122" t="str">
        <f t="shared" si="41"/>
        <v/>
      </c>
      <c r="G467" s="117"/>
      <c r="H467" s="117"/>
      <c r="I467" s="117"/>
      <c r="J467" s="84"/>
      <c r="L467" s="75" t="str">
        <f t="shared" si="42"/>
        <v/>
      </c>
      <c r="M467" s="75" t="str">
        <f t="shared" si="43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9"/>
        <v/>
      </c>
      <c r="D468" s="72" t="str">
        <f t="shared" si="40"/>
        <v/>
      </c>
      <c r="E468" s="84"/>
      <c r="F468" s="122" t="str">
        <f t="shared" si="41"/>
        <v/>
      </c>
      <c r="G468" s="117"/>
      <c r="H468" s="117"/>
      <c r="I468" s="117"/>
      <c r="J468" s="84"/>
      <c r="L468" s="75" t="str">
        <f t="shared" si="42"/>
        <v/>
      </c>
      <c r="M468" s="75" t="str">
        <f t="shared" si="43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9"/>
        <v/>
      </c>
      <c r="D469" s="72" t="str">
        <f t="shared" si="40"/>
        <v/>
      </c>
      <c r="E469" s="84"/>
      <c r="F469" s="122" t="str">
        <f t="shared" si="41"/>
        <v/>
      </c>
      <c r="G469" s="117"/>
      <c r="H469" s="117"/>
      <c r="I469" s="117"/>
      <c r="J469" s="84"/>
      <c r="L469" s="75" t="str">
        <f t="shared" si="42"/>
        <v/>
      </c>
      <c r="M469" s="75" t="str">
        <f t="shared" si="43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9"/>
        <v/>
      </c>
      <c r="D470" s="72" t="str">
        <f t="shared" si="40"/>
        <v/>
      </c>
      <c r="E470" s="84"/>
      <c r="F470" s="122" t="str">
        <f t="shared" si="41"/>
        <v/>
      </c>
      <c r="G470" s="117"/>
      <c r="H470" s="117"/>
      <c r="I470" s="117"/>
      <c r="J470" s="84"/>
      <c r="L470" s="75" t="str">
        <f t="shared" si="42"/>
        <v/>
      </c>
      <c r="M470" s="75" t="str">
        <f t="shared" si="43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9"/>
        <v/>
      </c>
      <c r="D471" s="72" t="str">
        <f t="shared" si="40"/>
        <v/>
      </c>
      <c r="E471" s="84"/>
      <c r="F471" s="122" t="str">
        <f t="shared" si="41"/>
        <v/>
      </c>
      <c r="G471" s="117"/>
      <c r="H471" s="117"/>
      <c r="I471" s="117"/>
      <c r="J471" s="84"/>
      <c r="L471" s="75" t="str">
        <f t="shared" si="42"/>
        <v/>
      </c>
      <c r="M471" s="75" t="str">
        <f t="shared" si="43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9"/>
        <v/>
      </c>
      <c r="D472" s="72" t="str">
        <f t="shared" si="40"/>
        <v/>
      </c>
      <c r="E472" s="84"/>
      <c r="F472" s="122" t="str">
        <f t="shared" si="41"/>
        <v/>
      </c>
      <c r="G472" s="117"/>
      <c r="H472" s="117"/>
      <c r="I472" s="117"/>
      <c r="J472" s="84"/>
      <c r="L472" s="75" t="str">
        <f t="shared" si="42"/>
        <v/>
      </c>
      <c r="M472" s="75" t="str">
        <f t="shared" si="43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9"/>
        <v/>
      </c>
      <c r="D473" s="72" t="str">
        <f t="shared" si="40"/>
        <v/>
      </c>
      <c r="E473" s="84"/>
      <c r="F473" s="122" t="str">
        <f t="shared" si="41"/>
        <v/>
      </c>
      <c r="G473" s="117"/>
      <c r="H473" s="117"/>
      <c r="I473" s="117"/>
      <c r="J473" s="84"/>
      <c r="L473" s="75" t="str">
        <f t="shared" si="42"/>
        <v/>
      </c>
      <c r="M473" s="75" t="str">
        <f t="shared" si="43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9"/>
        <v/>
      </c>
      <c r="D474" s="72" t="str">
        <f t="shared" si="40"/>
        <v/>
      </c>
      <c r="E474" s="84"/>
      <c r="F474" s="122" t="str">
        <f t="shared" si="41"/>
        <v/>
      </c>
      <c r="G474" s="117"/>
      <c r="H474" s="117"/>
      <c r="I474" s="117"/>
      <c r="J474" s="84"/>
      <c r="L474" s="75" t="str">
        <f t="shared" si="42"/>
        <v/>
      </c>
      <c r="M474" s="75" t="str">
        <f t="shared" si="43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9"/>
        <v/>
      </c>
      <c r="D475" s="72" t="str">
        <f t="shared" si="40"/>
        <v/>
      </c>
      <c r="E475" s="84"/>
      <c r="F475" s="122" t="str">
        <f t="shared" si="41"/>
        <v/>
      </c>
      <c r="G475" s="117"/>
      <c r="H475" s="117"/>
      <c r="I475" s="117"/>
      <c r="J475" s="84"/>
      <c r="L475" s="75" t="str">
        <f t="shared" si="42"/>
        <v/>
      </c>
      <c r="M475" s="75" t="str">
        <f t="shared" si="43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9"/>
        <v/>
      </c>
      <c r="D476" s="72" t="str">
        <f t="shared" si="40"/>
        <v/>
      </c>
      <c r="E476" s="84"/>
      <c r="F476" s="122" t="str">
        <f t="shared" si="41"/>
        <v/>
      </c>
      <c r="G476" s="117"/>
      <c r="H476" s="117"/>
      <c r="I476" s="117"/>
      <c r="J476" s="84"/>
      <c r="L476" s="75" t="str">
        <f t="shared" si="42"/>
        <v/>
      </c>
      <c r="M476" s="75" t="str">
        <f t="shared" si="43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9"/>
        <v/>
      </c>
      <c r="D477" s="72" t="str">
        <f t="shared" si="40"/>
        <v/>
      </c>
      <c r="E477" s="84"/>
      <c r="F477" s="122" t="str">
        <f t="shared" si="41"/>
        <v/>
      </c>
      <c r="G477" s="117"/>
      <c r="H477" s="117"/>
      <c r="I477" s="117"/>
      <c r="J477" s="84"/>
      <c r="L477" s="75" t="str">
        <f t="shared" si="42"/>
        <v/>
      </c>
      <c r="M477" s="75" t="str">
        <f t="shared" si="43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9"/>
        <v/>
      </c>
      <c r="D478" s="72" t="str">
        <f t="shared" si="40"/>
        <v/>
      </c>
      <c r="E478" s="84"/>
      <c r="F478" s="122" t="str">
        <f t="shared" si="41"/>
        <v/>
      </c>
      <c r="G478" s="117"/>
      <c r="H478" s="117"/>
      <c r="I478" s="117"/>
      <c r="J478" s="84"/>
      <c r="L478" s="75" t="str">
        <f t="shared" si="42"/>
        <v/>
      </c>
      <c r="M478" s="75" t="str">
        <f t="shared" si="43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9"/>
        <v/>
      </c>
      <c r="D479" s="72" t="str">
        <f t="shared" si="40"/>
        <v/>
      </c>
      <c r="E479" s="84"/>
      <c r="F479" s="122" t="str">
        <f t="shared" si="41"/>
        <v/>
      </c>
      <c r="G479" s="117"/>
      <c r="H479" s="117"/>
      <c r="I479" s="117"/>
      <c r="J479" s="84"/>
      <c r="L479" s="75" t="str">
        <f t="shared" si="42"/>
        <v/>
      </c>
      <c r="M479" s="75" t="str">
        <f t="shared" si="43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9"/>
        <v/>
      </c>
      <c r="D480" s="72" t="str">
        <f t="shared" si="40"/>
        <v/>
      </c>
      <c r="E480" s="84"/>
      <c r="F480" s="122" t="str">
        <f t="shared" si="41"/>
        <v/>
      </c>
      <c r="G480" s="117"/>
      <c r="H480" s="117"/>
      <c r="I480" s="117"/>
      <c r="J480" s="84"/>
      <c r="L480" s="75" t="str">
        <f t="shared" si="42"/>
        <v/>
      </c>
      <c r="M480" s="75" t="str">
        <f t="shared" si="43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9"/>
        <v/>
      </c>
      <c r="D481" s="72" t="str">
        <f t="shared" si="40"/>
        <v/>
      </c>
      <c r="E481" s="84"/>
      <c r="F481" s="122" t="str">
        <f t="shared" si="41"/>
        <v/>
      </c>
      <c r="G481" s="117"/>
      <c r="H481" s="117"/>
      <c r="I481" s="117"/>
      <c r="J481" s="84"/>
      <c r="L481" s="75" t="str">
        <f t="shared" si="42"/>
        <v/>
      </c>
      <c r="M481" s="75" t="str">
        <f t="shared" si="43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9"/>
        <v/>
      </c>
      <c r="D482" s="72" t="str">
        <f t="shared" si="40"/>
        <v/>
      </c>
      <c r="E482" s="84"/>
      <c r="F482" s="122" t="str">
        <f t="shared" si="41"/>
        <v/>
      </c>
      <c r="G482" s="117"/>
      <c r="H482" s="117"/>
      <c r="I482" s="117"/>
      <c r="J482" s="84"/>
      <c r="L482" s="75" t="str">
        <f t="shared" si="42"/>
        <v/>
      </c>
      <c r="M482" s="75" t="str">
        <f t="shared" si="43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9"/>
        <v/>
      </c>
      <c r="D483" s="72" t="str">
        <f t="shared" si="40"/>
        <v/>
      </c>
      <c r="E483" s="84"/>
      <c r="F483" s="122" t="str">
        <f t="shared" si="41"/>
        <v/>
      </c>
      <c r="G483" s="117"/>
      <c r="H483" s="117"/>
      <c r="I483" s="117"/>
      <c r="J483" s="84"/>
      <c r="L483" s="75" t="str">
        <f t="shared" si="42"/>
        <v/>
      </c>
      <c r="M483" s="75" t="str">
        <f t="shared" si="43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9"/>
        <v/>
      </c>
      <c r="D484" s="72" t="str">
        <f t="shared" si="40"/>
        <v/>
      </c>
      <c r="E484" s="84"/>
      <c r="F484" s="122" t="str">
        <f t="shared" si="41"/>
        <v/>
      </c>
      <c r="G484" s="117"/>
      <c r="H484" s="117"/>
      <c r="I484" s="117"/>
      <c r="J484" s="84"/>
      <c r="L484" s="75" t="str">
        <f t="shared" si="42"/>
        <v/>
      </c>
      <c r="M484" s="75" t="str">
        <f t="shared" si="43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9"/>
        <v/>
      </c>
      <c r="D485" s="72" t="str">
        <f t="shared" si="40"/>
        <v/>
      </c>
      <c r="E485" s="84"/>
      <c r="F485" s="122" t="str">
        <f t="shared" si="41"/>
        <v/>
      </c>
      <c r="G485" s="117"/>
      <c r="H485" s="117"/>
      <c r="I485" s="117"/>
      <c r="J485" s="84"/>
      <c r="L485" s="75" t="str">
        <f t="shared" si="42"/>
        <v/>
      </c>
      <c r="M485" s="75" t="str">
        <f t="shared" si="43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9"/>
        <v/>
      </c>
      <c r="D486" s="72" t="str">
        <f t="shared" si="40"/>
        <v/>
      </c>
      <c r="E486" s="84"/>
      <c r="F486" s="122" t="str">
        <f t="shared" si="41"/>
        <v/>
      </c>
      <c r="G486" s="117"/>
      <c r="H486" s="117"/>
      <c r="I486" s="117"/>
      <c r="J486" s="84"/>
      <c r="L486" s="75" t="str">
        <f t="shared" si="42"/>
        <v/>
      </c>
      <c r="M486" s="75" t="str">
        <f t="shared" si="43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9"/>
        <v/>
      </c>
      <c r="D487" s="72" t="str">
        <f t="shared" si="40"/>
        <v/>
      </c>
      <c r="E487" s="84"/>
      <c r="F487" s="122" t="str">
        <f t="shared" si="41"/>
        <v/>
      </c>
      <c r="G487" s="117"/>
      <c r="H487" s="117"/>
      <c r="I487" s="117"/>
      <c r="J487" s="84"/>
      <c r="L487" s="75" t="str">
        <f t="shared" si="42"/>
        <v/>
      </c>
      <c r="M487" s="75" t="str">
        <f t="shared" si="43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9"/>
        <v/>
      </c>
      <c r="D488" s="72" t="str">
        <f t="shared" si="40"/>
        <v/>
      </c>
      <c r="E488" s="84"/>
      <c r="F488" s="122" t="str">
        <f t="shared" si="41"/>
        <v/>
      </c>
      <c r="G488" s="117"/>
      <c r="H488" s="117"/>
      <c r="I488" s="117"/>
      <c r="J488" s="84"/>
      <c r="L488" s="75" t="str">
        <f t="shared" si="42"/>
        <v/>
      </c>
      <c r="M488" s="75" t="str">
        <f t="shared" si="43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9"/>
        <v/>
      </c>
      <c r="D489" s="72" t="str">
        <f t="shared" si="40"/>
        <v/>
      </c>
      <c r="E489" s="84"/>
      <c r="F489" s="122" t="str">
        <f t="shared" si="41"/>
        <v/>
      </c>
      <c r="G489" s="117"/>
      <c r="H489" s="117"/>
      <c r="I489" s="117"/>
      <c r="J489" s="84"/>
      <c r="L489" s="75" t="str">
        <f t="shared" si="42"/>
        <v/>
      </c>
      <c r="M489" s="75" t="str">
        <f t="shared" si="43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9"/>
        <v/>
      </c>
      <c r="D490" s="72" t="str">
        <f t="shared" si="40"/>
        <v/>
      </c>
      <c r="E490" s="84"/>
      <c r="F490" s="122" t="str">
        <f t="shared" si="41"/>
        <v/>
      </c>
      <c r="G490" s="117"/>
      <c r="H490" s="117"/>
      <c r="I490" s="117"/>
      <c r="J490" s="84"/>
      <c r="L490" s="75" t="str">
        <f t="shared" si="42"/>
        <v/>
      </c>
      <c r="M490" s="75" t="str">
        <f t="shared" si="43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9"/>
        <v/>
      </c>
      <c r="D491" s="72" t="str">
        <f t="shared" si="40"/>
        <v/>
      </c>
      <c r="E491" s="84"/>
      <c r="F491" s="122" t="str">
        <f t="shared" si="41"/>
        <v/>
      </c>
      <c r="G491" s="117"/>
      <c r="H491" s="117"/>
      <c r="I491" s="117"/>
      <c r="J491" s="84"/>
      <c r="L491" s="75" t="str">
        <f t="shared" si="42"/>
        <v/>
      </c>
      <c r="M491" s="75" t="str">
        <f t="shared" si="43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9"/>
        <v/>
      </c>
      <c r="D492" s="72" t="str">
        <f t="shared" si="40"/>
        <v/>
      </c>
      <c r="E492" s="84"/>
      <c r="F492" s="122" t="str">
        <f t="shared" si="41"/>
        <v/>
      </c>
      <c r="G492" s="117"/>
      <c r="H492" s="117"/>
      <c r="I492" s="117"/>
      <c r="J492" s="84"/>
      <c r="L492" s="75" t="str">
        <f t="shared" si="42"/>
        <v/>
      </c>
      <c r="M492" s="75" t="str">
        <f t="shared" si="43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9"/>
        <v/>
      </c>
      <c r="D493" s="72" t="str">
        <f t="shared" si="40"/>
        <v/>
      </c>
      <c r="E493" s="84"/>
      <c r="F493" s="122" t="str">
        <f t="shared" si="41"/>
        <v/>
      </c>
      <c r="G493" s="117"/>
      <c r="H493" s="117"/>
      <c r="I493" s="117"/>
      <c r="J493" s="84"/>
      <c r="L493" s="75" t="str">
        <f t="shared" si="42"/>
        <v/>
      </c>
      <c r="M493" s="75" t="str">
        <f t="shared" si="43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9"/>
        <v/>
      </c>
      <c r="D494" s="72" t="str">
        <f t="shared" si="40"/>
        <v/>
      </c>
      <c r="E494" s="84"/>
      <c r="F494" s="122" t="str">
        <f t="shared" si="41"/>
        <v/>
      </c>
      <c r="G494" s="117"/>
      <c r="H494" s="117"/>
      <c r="I494" s="117"/>
      <c r="J494" s="84"/>
      <c r="L494" s="75" t="str">
        <f t="shared" si="42"/>
        <v/>
      </c>
      <c r="M494" s="75" t="str">
        <f t="shared" si="43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9"/>
        <v/>
      </c>
      <c r="D495" s="72" t="str">
        <f t="shared" si="40"/>
        <v/>
      </c>
      <c r="E495" s="84"/>
      <c r="F495" s="122" t="str">
        <f t="shared" si="41"/>
        <v/>
      </c>
      <c r="G495" s="117"/>
      <c r="H495" s="117"/>
      <c r="I495" s="117"/>
      <c r="J495" s="84"/>
      <c r="L495" s="75" t="str">
        <f t="shared" si="42"/>
        <v/>
      </c>
      <c r="M495" s="75" t="str">
        <f t="shared" si="43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9"/>
        <v/>
      </c>
      <c r="D496" s="72" t="str">
        <f t="shared" si="40"/>
        <v/>
      </c>
      <c r="E496" s="84"/>
      <c r="F496" s="122" t="str">
        <f t="shared" si="41"/>
        <v/>
      </c>
      <c r="G496" s="117"/>
      <c r="H496" s="117"/>
      <c r="I496" s="117"/>
      <c r="J496" s="84"/>
      <c r="L496" s="75" t="str">
        <f t="shared" si="42"/>
        <v/>
      </c>
      <c r="M496" s="75" t="str">
        <f t="shared" si="43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9"/>
        <v/>
      </c>
      <c r="D497" s="72" t="str">
        <f t="shared" si="40"/>
        <v/>
      </c>
      <c r="E497" s="84"/>
      <c r="F497" s="122" t="str">
        <f t="shared" si="41"/>
        <v/>
      </c>
      <c r="G497" s="117"/>
      <c r="H497" s="117"/>
      <c r="I497" s="117"/>
      <c r="J497" s="84"/>
      <c r="L497" s="75" t="str">
        <f t="shared" si="42"/>
        <v/>
      </c>
      <c r="M497" s="75" t="str">
        <f t="shared" si="43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9"/>
        <v/>
      </c>
      <c r="D498" s="72" t="str">
        <f t="shared" si="40"/>
        <v/>
      </c>
      <c r="E498" s="84"/>
      <c r="F498" s="122" t="str">
        <f t="shared" si="41"/>
        <v/>
      </c>
      <c r="G498" s="117"/>
      <c r="H498" s="117"/>
      <c r="I498" s="117"/>
      <c r="J498" s="84"/>
      <c r="L498" s="75" t="str">
        <f t="shared" si="42"/>
        <v/>
      </c>
      <c r="M498" s="75" t="str">
        <f t="shared" si="43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9"/>
        <v/>
      </c>
      <c r="D499" s="72" t="str">
        <f t="shared" si="40"/>
        <v/>
      </c>
      <c r="E499" s="84"/>
      <c r="F499" s="122" t="str">
        <f t="shared" si="41"/>
        <v/>
      </c>
      <c r="G499" s="117"/>
      <c r="H499" s="117"/>
      <c r="I499" s="117"/>
      <c r="J499" s="84"/>
      <c r="L499" s="75" t="str">
        <f t="shared" si="42"/>
        <v/>
      </c>
      <c r="M499" s="75" t="str">
        <f t="shared" si="43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9"/>
        <v/>
      </c>
      <c r="D500" s="72" t="str">
        <f t="shared" si="40"/>
        <v/>
      </c>
      <c r="E500" s="84"/>
      <c r="F500" s="122" t="str">
        <f t="shared" si="41"/>
        <v/>
      </c>
      <c r="G500" s="117"/>
      <c r="H500" s="117"/>
      <c r="I500" s="117"/>
      <c r="J500" s="84"/>
      <c r="L500" s="75" t="str">
        <f t="shared" si="42"/>
        <v/>
      </c>
      <c r="M500" s="75" t="str">
        <f t="shared" si="43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9"/>
        <v/>
      </c>
      <c r="D501" s="72" t="str">
        <f t="shared" si="40"/>
        <v/>
      </c>
      <c r="E501" s="84"/>
      <c r="F501" s="122" t="str">
        <f t="shared" si="41"/>
        <v/>
      </c>
      <c r="G501" s="117"/>
      <c r="H501" s="117"/>
      <c r="I501" s="117"/>
      <c r="J501" s="84"/>
      <c r="L501" s="75" t="str">
        <f t="shared" si="42"/>
        <v/>
      </c>
      <c r="M501" s="75" t="str">
        <f t="shared" si="43"/>
        <v/>
      </c>
    </row>
    <row r="502" spans="1:13">
      <c r="A502" s="337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39"/>
        <v/>
      </c>
      <c r="D502" s="72" t="str">
        <f t="shared" si="40"/>
        <v/>
      </c>
      <c r="E502" s="84"/>
      <c r="F502" s="122" t="str">
        <f t="shared" si="41"/>
        <v/>
      </c>
      <c r="G502" s="117"/>
      <c r="H502" s="117"/>
      <c r="I502" s="117"/>
      <c r="J502" s="84"/>
      <c r="L502" s="75" t="str">
        <f t="shared" si="42"/>
        <v/>
      </c>
      <c r="M502" s="75" t="str">
        <f t="shared" si="43"/>
        <v/>
      </c>
    </row>
    <row r="503" spans="1:13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</sheetData>
  <sheetProtection selectLockedCells="1"/>
  <autoFilter ref="R5:V122" xr:uid="{00000000-0009-0000-0000-000001000000}"/>
  <sortState ref="R8:V106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500">
    <cfRule type="expression" dxfId="1" priority="1">
      <formula>IF(OR(E4=6391,E4=6392,E4=6393,E4=6394),1,0)</formula>
    </cfRule>
  </conditionalFormatting>
  <dataValidations count="5">
    <dataValidation type="whole" allowBlank="1" showInputMessage="1" showErrorMessage="1" errorTitle="GREŠKA" error="U ovo polje je dozvoljen unos samo brojčanih vrijednosti (bez decimala!)" sqref="I3:I502 G3:G502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8:E502" xr:uid="{00000000-0002-0000-0100-000001000000}">
      <formula1>$R$6:$R$114</formula1>
    </dataValidation>
    <dataValidation type="list" allowBlank="1" showInputMessage="1" showErrorMessage="1" errorTitle="GREŠKA" error="Za unos odaberite vrijednost iz padajućeg izbornika!" prompt="Molimo odaberite vrijednost iz padajućeg izbornika!" sqref="E10:E107" xr:uid="{D3A5E8C1-EBB4-46CB-BC83-1D50540FA65B}">
      <formula1>$V$5:$V$184</formula1>
    </dataValidation>
    <dataValidation type="list" allowBlank="1" showInputMessage="1" showErrorMessage="1" errorTitle="GREŠKA" error="Za unos odaberite vrijednost iz padajućeg izbornika!" prompt="Molimo odaberite vrijednost iz padajućeg izbornika!" sqref="C10:C107" xr:uid="{D7A7D346-1E76-4BF8-81EB-75AD62F3897A}">
      <formula1>$S$6:$S$48</formula1>
    </dataValidation>
    <dataValidation type="list" allowBlank="1" showInputMessage="1" showErrorMessage="1" errorTitle="GREŠKA" error="Za unos odaberite vrijednost iz padajućeg izbornika!" prompt="Molimo odaberite vrijednost iz padajućeg izbornika!" sqref="E3:E9" xr:uid="{A977620A-7AF8-4C83-A67D-AE10F30F1D21}">
      <formula1>$R$6:$R$109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10"/>
  <sheetViews>
    <sheetView showGridLines="0" topLeftCell="B1" zoomScale="80" zoomScaleNormal="80" workbookViewId="0">
      <pane ySplit="2" topLeftCell="A78" activePane="bottomLeft" state="frozen"/>
      <selection pane="bottomLeft" activeCell="J89" sqref="J89"/>
    </sheetView>
  </sheetViews>
  <sheetFormatPr defaultColWidth="9.109375" defaultRowHeight="14.4" zeroHeight="1"/>
  <cols>
    <col min="1" max="1" width="8.33203125" style="75" customWidth="1"/>
    <col min="2" max="2" width="20.33203125" style="75" customWidth="1"/>
    <col min="3" max="3" width="11.5546875" style="75" customWidth="1"/>
    <col min="4" max="4" width="33" style="75" customWidth="1"/>
    <col min="5" max="5" width="11.33203125" style="75" customWidth="1"/>
    <col min="6" max="6" width="21.88671875" style="75" customWidth="1"/>
    <col min="7" max="7" width="12.5546875" style="75" customWidth="1"/>
    <col min="8" max="8" width="36.6640625" style="75" customWidth="1"/>
    <col min="9" max="9" width="8.5546875" style="75" customWidth="1"/>
    <col min="10" max="10" width="16.44140625" style="76" customWidth="1"/>
    <col min="11" max="11" width="15.6640625" style="76" customWidth="1"/>
    <col min="12" max="12" width="15.109375" style="76" customWidth="1"/>
    <col min="13" max="13" width="46.44140625" style="76" customWidth="1"/>
    <col min="14" max="14" width="13.6640625" style="75" customWidth="1"/>
    <col min="15" max="19" width="9.109375" style="75" customWidth="1"/>
    <col min="20" max="20" width="46.5546875" style="75" customWidth="1"/>
    <col min="21" max="22" width="9.109375" style="75" customWidth="1"/>
    <col min="23" max="23" width="58.88671875" style="75" customWidth="1"/>
    <col min="24" max="24" width="9.109375" style="75"/>
    <col min="25" max="25" width="9.109375" style="290"/>
    <col min="26" max="16384" width="9.109375" style="75"/>
  </cols>
  <sheetData>
    <row r="1" spans="1:33" ht="35.25" customHeight="1">
      <c r="A1" s="384" t="s">
        <v>5253</v>
      </c>
      <c r="B1" s="384"/>
      <c r="C1" s="384"/>
      <c r="D1" s="384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5271</v>
      </c>
      <c r="K2" s="330" t="s">
        <v>5264</v>
      </c>
      <c r="L2" s="330" t="s">
        <v>5272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IFERROR(VLOOKUP(C3,$S$6:$T$26,2,FALSE),"")</f>
        <v>Opći prihodi i primici</v>
      </c>
      <c r="E3" s="85">
        <v>3111</v>
      </c>
      <c r="F3" s="80" t="str">
        <f t="shared" ref="F3" si="0">IFERROR(VLOOKUP(E3,$V$5:$X$132,2,FALSE),"")</f>
        <v>Plaće za redovan rad</v>
      </c>
      <c r="G3" s="118" t="s">
        <v>61</v>
      </c>
      <c r="H3" s="80" t="str">
        <f>IFERROR(VLOOKUP(G3,$AB$6:$AC$330,2,FALSE),"")</f>
        <v>REDOVNA DJELATNOST SVEUČILIŠTA U OSIJEKU</v>
      </c>
      <c r="I3" s="80" t="str">
        <f>IFERROR(VLOOKUP(G3,$AB$6:$AF$330,3,FALSE),"")</f>
        <v>0942</v>
      </c>
      <c r="J3" s="117">
        <v>4514112</v>
      </c>
      <c r="K3" s="117">
        <v>156709</v>
      </c>
      <c r="L3" s="117">
        <v>4670821</v>
      </c>
      <c r="M3" s="355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9" si="1">IFERROR(VLOOKUP(C4,$S$6:$T$26,2,FALSE),"")</f>
        <v>Opći prihodi i primici</v>
      </c>
      <c r="E4" s="85">
        <v>3132</v>
      </c>
      <c r="F4" s="80" t="str">
        <f t="shared" ref="F4:F70" si="2">IFERROR(VLOOKUP(E4,$V$5:$X$132,2,FALSE),"")</f>
        <v>Doprinosi za obvezno zdravstveno osiguranje</v>
      </c>
      <c r="G4" s="118" t="s">
        <v>61</v>
      </c>
      <c r="H4" s="80" t="str">
        <f t="shared" ref="H4:H70" si="3">IFERROR(VLOOKUP(G4,$AB$6:$AC$330,2,FALSE),"")</f>
        <v>REDOVNA DJELATNOST SVEUČILIŠTA U OSIJEKU</v>
      </c>
      <c r="I4" s="80" t="str">
        <f t="shared" ref="I4:I70" si="4">IFERROR(VLOOKUP(G4,$AB$6:$AF$330,3,FALSE),"")</f>
        <v>0942</v>
      </c>
      <c r="J4" s="117">
        <v>372720</v>
      </c>
      <c r="K4" s="117">
        <v>455013</v>
      </c>
      <c r="L4" s="117">
        <v>827733</v>
      </c>
      <c r="M4" s="355"/>
      <c r="O4" s="75" t="str">
        <f t="shared" ref="O4:O70" si="5">LEFT(E4,3)</f>
        <v>313</v>
      </c>
      <c r="P4" s="75" t="str">
        <f t="shared" ref="P4:P70" si="6">LEFT(E4,2)</f>
        <v>31</v>
      </c>
      <c r="Q4" s="75" t="str">
        <f t="shared" ref="Q4:Q70" si="7">LEFT(C4,3)</f>
        <v>11</v>
      </c>
      <c r="R4" s="75" t="str">
        <f t="shared" ref="R4:R70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3121</v>
      </c>
      <c r="F5" s="80" t="str">
        <f t="shared" si="2"/>
        <v>Ostali rashodi za zaposlene</v>
      </c>
      <c r="G5" s="118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117">
        <v>108510</v>
      </c>
      <c r="K5" s="117">
        <v>36586</v>
      </c>
      <c r="L5" s="117">
        <v>145096</v>
      </c>
      <c r="M5" s="355"/>
      <c r="O5" s="75" t="str">
        <f t="shared" si="5"/>
        <v>312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117">
        <v>51868</v>
      </c>
      <c r="K6" s="117">
        <v>16360</v>
      </c>
      <c r="L6" s="117">
        <v>68228</v>
      </c>
      <c r="M6" s="355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2"/>
        <v>Zdravstvene i veterinarske usluge</v>
      </c>
      <c r="G7" s="118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117">
        <v>7743</v>
      </c>
      <c r="K7" s="117"/>
      <c r="L7" s="117">
        <v>7743</v>
      </c>
      <c r="M7" s="355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117">
        <v>6543</v>
      </c>
      <c r="K8" s="117"/>
      <c r="L8" s="117">
        <v>6543</v>
      </c>
      <c r="M8" s="355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3237</v>
      </c>
      <c r="F9" s="80" t="str">
        <f t="shared" si="2"/>
        <v>Intelektualne i osobne usluge</v>
      </c>
      <c r="G9" s="118" t="s">
        <v>674</v>
      </c>
      <c r="H9" s="80" t="str">
        <f t="shared" si="3"/>
        <v>PROGRAMI VJEŽBAONICA VISOKIH UČILIŠTA</v>
      </c>
      <c r="I9" s="80" t="str">
        <f t="shared" si="4"/>
        <v>0942</v>
      </c>
      <c r="J9" s="117">
        <v>2896</v>
      </c>
      <c r="K9" s="117"/>
      <c r="L9" s="117">
        <v>2896</v>
      </c>
      <c r="M9" s="364"/>
      <c r="O9" s="75" t="str">
        <f t="shared" si="5"/>
        <v>323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/>
      <c r="B10" s="79" t="s">
        <v>45</v>
      </c>
      <c r="C10" s="85">
        <v>11</v>
      </c>
      <c r="D10" s="80" t="s">
        <v>46</v>
      </c>
      <c r="E10" s="85">
        <v>3111</v>
      </c>
      <c r="F10" s="80" t="s">
        <v>47</v>
      </c>
      <c r="G10" s="118" t="s">
        <v>1873</v>
      </c>
      <c r="H10" s="80" t="s">
        <v>933</v>
      </c>
      <c r="I10" s="80">
        <v>942</v>
      </c>
      <c r="J10" s="365"/>
      <c r="K10" s="117">
        <v>2356</v>
      </c>
      <c r="L10" s="117">
        <v>2356</v>
      </c>
      <c r="M10" s="355"/>
      <c r="S10"/>
      <c r="T10"/>
      <c r="AB10"/>
      <c r="AC10"/>
    </row>
    <row r="11" spans="1:33">
      <c r="A11" s="79"/>
      <c r="B11" s="79" t="s">
        <v>45</v>
      </c>
      <c r="C11" s="85">
        <v>11</v>
      </c>
      <c r="D11" s="80" t="s">
        <v>46</v>
      </c>
      <c r="E11" s="85">
        <v>3715</v>
      </c>
      <c r="F11" s="80" t="s">
        <v>5277</v>
      </c>
      <c r="G11" s="118" t="s">
        <v>934</v>
      </c>
      <c r="H11" s="80" t="s">
        <v>935</v>
      </c>
      <c r="I11" s="80">
        <v>942</v>
      </c>
      <c r="J11" s="365"/>
      <c r="K11" s="117">
        <v>840</v>
      </c>
      <c r="L11" s="117">
        <v>840</v>
      </c>
      <c r="M11" s="355"/>
      <c r="S11"/>
      <c r="T11"/>
      <c r="AB11"/>
      <c r="AC11"/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360">
        <v>3221</v>
      </c>
      <c r="F12" s="361" t="str">
        <f t="shared" si="2"/>
        <v>Uredski materijal i ostali materijalni rashodi</v>
      </c>
      <c r="G12" s="362" t="s">
        <v>672</v>
      </c>
      <c r="H12" s="361" t="str">
        <f t="shared" si="3"/>
        <v>PROGRAMSKO FINANCIRANJE JAVNIH VISOKIH UČILIŠTA</v>
      </c>
      <c r="I12" s="361" t="str">
        <f t="shared" si="4"/>
        <v>0942</v>
      </c>
      <c r="J12" s="363"/>
      <c r="K12" s="363"/>
      <c r="L12" s="363"/>
      <c r="M12" s="355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43</v>
      </c>
      <c r="T12" s="75" t="s">
        <v>96</v>
      </c>
      <c r="V12" s="125">
        <v>3132</v>
      </c>
      <c r="W12" s="125" t="s">
        <v>51</v>
      </c>
      <c r="X12" s="125"/>
      <c r="Y12" s="290" t="str">
        <f t="shared" ref="Y12:Y43" si="9">LEFT(V12,2)</f>
        <v>31</v>
      </c>
      <c r="Z12" s="125" t="str">
        <f t="shared" ref="Z12:Z43" si="10">LEFT(V12,3)</f>
        <v>313</v>
      </c>
      <c r="AB12" t="s">
        <v>1617</v>
      </c>
      <c r="AC12" t="s">
        <v>1618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360">
        <v>3222</v>
      </c>
      <c r="F13" s="361" t="str">
        <f t="shared" si="2"/>
        <v>Materijal i sirovine</v>
      </c>
      <c r="G13" s="362" t="s">
        <v>672</v>
      </c>
      <c r="H13" s="361" t="str">
        <f t="shared" si="3"/>
        <v>PROGRAMSKO FINANCIRANJE JAVNIH VISOKIH UČILIŠTA</v>
      </c>
      <c r="I13" s="361" t="str">
        <f t="shared" si="4"/>
        <v>0942</v>
      </c>
      <c r="J13" s="363"/>
      <c r="K13" s="363"/>
      <c r="L13" s="363"/>
      <c r="M13" s="355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 s="75">
        <v>51</v>
      </c>
      <c r="T13" s="75" t="s">
        <v>86</v>
      </c>
      <c r="V13" s="75">
        <v>3211</v>
      </c>
      <c r="W13" s="75" t="s">
        <v>78</v>
      </c>
      <c r="Y13" s="290" t="str">
        <f t="shared" si="9"/>
        <v>32</v>
      </c>
      <c r="Z13" s="75" t="str">
        <f t="shared" si="10"/>
        <v>321</v>
      </c>
      <c r="AB13" t="s">
        <v>1617</v>
      </c>
      <c r="AC13" t="s">
        <v>1618</v>
      </c>
      <c r="AD13" s="75" t="s">
        <v>5145</v>
      </c>
      <c r="AE13" s="75" t="s">
        <v>5146</v>
      </c>
      <c r="AF13" s="75" t="s">
        <v>5165</v>
      </c>
      <c r="AG13" s="75" t="s">
        <v>5174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360">
        <v>3223</v>
      </c>
      <c r="F14" s="361" t="str">
        <f t="shared" si="2"/>
        <v>Energija</v>
      </c>
      <c r="G14" s="362" t="s">
        <v>672</v>
      </c>
      <c r="H14" s="361" t="str">
        <f t="shared" si="3"/>
        <v>PROGRAMSKO FINANCIRANJE JAVNIH VISOKIH UČILIŠTA</v>
      </c>
      <c r="I14" s="361" t="str">
        <f t="shared" si="4"/>
        <v>0942</v>
      </c>
      <c r="J14" s="363">
        <v>50183</v>
      </c>
      <c r="K14" s="363"/>
      <c r="L14" s="363">
        <v>50183</v>
      </c>
      <c r="M14" s="355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 s="75">
        <v>52</v>
      </c>
      <c r="T14" s="75" t="s">
        <v>109</v>
      </c>
      <c r="V14" s="75">
        <v>3212</v>
      </c>
      <c r="W14" s="75" t="s">
        <v>52</v>
      </c>
      <c r="Y14" s="290" t="str">
        <f t="shared" si="9"/>
        <v>32</v>
      </c>
      <c r="Z14" s="75" t="str">
        <f t="shared" si="10"/>
        <v>321</v>
      </c>
      <c r="AB14" t="s">
        <v>1619</v>
      </c>
      <c r="AC14" t="s">
        <v>1620</v>
      </c>
      <c r="AD14" s="75" t="s">
        <v>5143</v>
      </c>
      <c r="AE14" s="75" t="s">
        <v>5144</v>
      </c>
      <c r="AF14" s="75" t="s">
        <v>5165</v>
      </c>
      <c r="AG14" s="75" t="s">
        <v>5175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360">
        <v>3211</v>
      </c>
      <c r="F15" s="361" t="str">
        <f t="shared" si="2"/>
        <v>Službena putovanja</v>
      </c>
      <c r="G15" s="362" t="s">
        <v>672</v>
      </c>
      <c r="H15" s="361" t="str">
        <f t="shared" si="3"/>
        <v>PROGRAMSKO FINANCIRANJE JAVNIH VISOKIH UČILIŠTA</v>
      </c>
      <c r="I15" s="361" t="str">
        <f t="shared" si="4"/>
        <v>0942</v>
      </c>
      <c r="J15" s="363">
        <v>31900</v>
      </c>
      <c r="K15" s="363"/>
      <c r="L15" s="363">
        <v>31900</v>
      </c>
      <c r="M15" s="356"/>
      <c r="O15" s="75" t="str">
        <f t="shared" si="5"/>
        <v>321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>
        <v>552</v>
      </c>
      <c r="T15" t="s">
        <v>1209</v>
      </c>
      <c r="V15" s="75">
        <v>3213</v>
      </c>
      <c r="W15" s="75" t="s">
        <v>97</v>
      </c>
      <c r="Y15" s="290" t="str">
        <f t="shared" si="9"/>
        <v>32</v>
      </c>
      <c r="Z15" s="75" t="str">
        <f t="shared" si="10"/>
        <v>321</v>
      </c>
      <c r="AB15" t="s">
        <v>1795</v>
      </c>
      <c r="AC15" t="s">
        <v>1796</v>
      </c>
      <c r="AD15" s="75" t="s">
        <v>5143</v>
      </c>
      <c r="AE15" s="75" t="s">
        <v>5144</v>
      </c>
      <c r="AF15" s="75" t="s">
        <v>5165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360">
        <v>3213</v>
      </c>
      <c r="F16" s="361" t="str">
        <f t="shared" si="2"/>
        <v>Stručno usavršavanje zaposlenika</v>
      </c>
      <c r="G16" s="362" t="s">
        <v>672</v>
      </c>
      <c r="H16" s="361" t="str">
        <f t="shared" si="3"/>
        <v>PROGRAMSKO FINANCIRANJE JAVNIH VISOKIH UČILIŠTA</v>
      </c>
      <c r="I16" s="361" t="str">
        <f t="shared" si="4"/>
        <v>0942</v>
      </c>
      <c r="J16" s="363"/>
      <c r="K16" s="363"/>
      <c r="L16" s="363"/>
      <c r="M16" s="355"/>
      <c r="O16" s="75" t="str">
        <f t="shared" si="5"/>
        <v>321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>
        <v>559</v>
      </c>
      <c r="T16" t="s">
        <v>1210</v>
      </c>
      <c r="V16" s="75">
        <v>3214</v>
      </c>
      <c r="W16" s="75" t="s">
        <v>126</v>
      </c>
      <c r="Y16" s="290" t="str">
        <f t="shared" si="9"/>
        <v>32</v>
      </c>
      <c r="Z16" s="75" t="str">
        <f t="shared" si="10"/>
        <v>321</v>
      </c>
      <c r="AB16" t="s">
        <v>1797</v>
      </c>
      <c r="AC16" t="s">
        <v>1798</v>
      </c>
      <c r="AD16" s="75" t="s">
        <v>5147</v>
      </c>
      <c r="AE16" s="75" t="s">
        <v>5148</v>
      </c>
      <c r="AF16" s="75" t="s">
        <v>5165</v>
      </c>
      <c r="AG16" s="75" t="s">
        <v>5173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360">
        <v>3214</v>
      </c>
      <c r="F17" s="361" t="str">
        <f t="shared" si="2"/>
        <v>Ostale naknade troškova zaposlenima</v>
      </c>
      <c r="G17" s="362" t="s">
        <v>672</v>
      </c>
      <c r="H17" s="361" t="str">
        <f t="shared" si="3"/>
        <v>PROGRAMSKO FINANCIRANJE JAVNIH VISOKIH UČILIŠTA</v>
      </c>
      <c r="I17" s="361" t="str">
        <f t="shared" si="4"/>
        <v>0942</v>
      </c>
      <c r="J17" s="363"/>
      <c r="K17" s="363"/>
      <c r="L17" s="363"/>
      <c r="M17" s="356"/>
      <c r="O17" s="75" t="str">
        <f t="shared" si="5"/>
        <v>321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561</v>
      </c>
      <c r="T17" s="75" t="s">
        <v>111</v>
      </c>
      <c r="V17" s="75">
        <v>3221</v>
      </c>
      <c r="W17" s="75" t="s">
        <v>79</v>
      </c>
      <c r="Y17" s="290" t="str">
        <f t="shared" si="9"/>
        <v>32</v>
      </c>
      <c r="Z17" s="75" t="str">
        <f t="shared" si="10"/>
        <v>322</v>
      </c>
      <c r="AB17" t="s">
        <v>1799</v>
      </c>
      <c r="AC17" t="s">
        <v>1800</v>
      </c>
      <c r="AD17" s="75" t="s">
        <v>5139</v>
      </c>
      <c r="AE17" s="75" t="s">
        <v>5140</v>
      </c>
      <c r="AF17" s="75" t="s">
        <v>5165</v>
      </c>
      <c r="AG17" s="75" t="s">
        <v>5172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360">
        <v>3224</v>
      </c>
      <c r="F18" s="361" t="str">
        <f t="shared" si="2"/>
        <v>Materijal i dijelovi za tekuće i investicijsko održavanje</v>
      </c>
      <c r="G18" s="362" t="s">
        <v>672</v>
      </c>
      <c r="H18" s="361" t="str">
        <f t="shared" si="3"/>
        <v>PROGRAMSKO FINANCIRANJE JAVNIH VISOKIH UČILIŠTA</v>
      </c>
      <c r="I18" s="361" t="str">
        <f t="shared" si="4"/>
        <v>0942</v>
      </c>
      <c r="J18" s="363"/>
      <c r="K18" s="363"/>
      <c r="L18" s="363"/>
      <c r="M18" s="357"/>
      <c r="O18" s="75" t="str">
        <f t="shared" si="5"/>
        <v>322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 s="75">
        <v>563</v>
      </c>
      <c r="T18" s="75" t="s">
        <v>113</v>
      </c>
      <c r="V18" s="75">
        <v>3222</v>
      </c>
      <c r="W18" s="75" t="s">
        <v>100</v>
      </c>
      <c r="Y18" s="290" t="str">
        <f t="shared" si="9"/>
        <v>32</v>
      </c>
      <c r="Z18" s="75" t="str">
        <f t="shared" si="10"/>
        <v>322</v>
      </c>
      <c r="AB18" t="s">
        <v>944</v>
      </c>
      <c r="AC18" t="s">
        <v>945</v>
      </c>
      <c r="AD18" s="75" t="s">
        <v>5149</v>
      </c>
      <c r="AE18" s="75" t="s">
        <v>5150</v>
      </c>
      <c r="AF18" s="75" t="s">
        <v>5166</v>
      </c>
      <c r="AG18" s="75" t="s">
        <v>5171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360">
        <v>3225</v>
      </c>
      <c r="F19" s="361" t="str">
        <f t="shared" si="2"/>
        <v>Sitni inventar i auto gume</v>
      </c>
      <c r="G19" s="362" t="s">
        <v>672</v>
      </c>
      <c r="H19" s="361" t="str">
        <f t="shared" si="3"/>
        <v>PROGRAMSKO FINANCIRANJE JAVNIH VISOKIH UČILIŠTA</v>
      </c>
      <c r="I19" s="361" t="str">
        <f t="shared" si="4"/>
        <v>0942</v>
      </c>
      <c r="J19" s="363"/>
      <c r="K19" s="363"/>
      <c r="L19" s="363"/>
      <c r="M19" s="357"/>
      <c r="O19" s="75" t="str">
        <f t="shared" si="5"/>
        <v>322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75">
        <v>573</v>
      </c>
      <c r="T19" t="s">
        <v>1220</v>
      </c>
      <c r="V19" s="75">
        <v>3223</v>
      </c>
      <c r="W19" s="75" t="s">
        <v>88</v>
      </c>
      <c r="Y19" s="290" t="str">
        <f t="shared" si="9"/>
        <v>32</v>
      </c>
      <c r="Z19" s="75" t="str">
        <f t="shared" si="10"/>
        <v>322</v>
      </c>
      <c r="AB19" t="s">
        <v>1621</v>
      </c>
      <c r="AC19" t="s">
        <v>1622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360">
        <v>3237</v>
      </c>
      <c r="F20" s="361" t="str">
        <f t="shared" si="2"/>
        <v>Intelektualne i osobne usluge</v>
      </c>
      <c r="G20" s="362" t="s">
        <v>672</v>
      </c>
      <c r="H20" s="361" t="str">
        <f t="shared" si="3"/>
        <v>PROGRAMSKO FINANCIRANJE JAVNIH VISOKIH UČILIŠTA</v>
      </c>
      <c r="I20" s="361" t="str">
        <f t="shared" si="4"/>
        <v>0942</v>
      </c>
      <c r="J20" s="363">
        <v>170124</v>
      </c>
      <c r="K20" s="363"/>
      <c r="L20" s="363">
        <v>170124</v>
      </c>
      <c r="M20" s="358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>
        <v>575</v>
      </c>
      <c r="T20" t="s">
        <v>1222</v>
      </c>
      <c r="V20" s="75">
        <v>3224</v>
      </c>
      <c r="W20" s="75" t="s">
        <v>93</v>
      </c>
      <c r="Y20" s="290" t="str">
        <f t="shared" si="9"/>
        <v>32</v>
      </c>
      <c r="Z20" s="75" t="str">
        <f t="shared" si="10"/>
        <v>322</v>
      </c>
      <c r="AB20" t="s">
        <v>946</v>
      </c>
      <c r="AC20" t="s">
        <v>947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360">
        <v>3231</v>
      </c>
      <c r="F21" s="361" t="str">
        <f t="shared" si="2"/>
        <v>Usluge telefona, pošte i prijevoza</v>
      </c>
      <c r="G21" s="362" t="s">
        <v>672</v>
      </c>
      <c r="H21" s="361" t="str">
        <f t="shared" si="3"/>
        <v>PROGRAMSKO FINANCIRANJE JAVNIH VISOKIH UČILIŠTA</v>
      </c>
      <c r="I21" s="361" t="str">
        <f t="shared" si="4"/>
        <v>0942</v>
      </c>
      <c r="J21" s="363">
        <v>7008</v>
      </c>
      <c r="K21" s="363"/>
      <c r="L21" s="363">
        <v>7008</v>
      </c>
      <c r="M21" s="358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222">
        <v>5761</v>
      </c>
      <c r="T21" s="142" t="s">
        <v>3528</v>
      </c>
      <c r="V21" s="75">
        <v>3225</v>
      </c>
      <c r="W21" s="75" t="s">
        <v>101</v>
      </c>
      <c r="Y21" s="290" t="str">
        <f t="shared" si="9"/>
        <v>32</v>
      </c>
      <c r="Z21" s="75" t="str">
        <f t="shared" si="10"/>
        <v>322</v>
      </c>
      <c r="AB21" t="s">
        <v>1801</v>
      </c>
      <c r="AC21" t="s">
        <v>1802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360">
        <v>3232</v>
      </c>
      <c r="F22" s="361" t="str">
        <f t="shared" si="2"/>
        <v>Usluge tekućeg i investicijskog održavanja</v>
      </c>
      <c r="G22" s="362" t="s">
        <v>672</v>
      </c>
      <c r="H22" s="361" t="str">
        <f t="shared" si="3"/>
        <v>PROGRAMSKO FINANCIRANJE JAVNIH VISOKIH UČILIŠTA</v>
      </c>
      <c r="I22" s="361" t="str">
        <f t="shared" si="4"/>
        <v>0942</v>
      </c>
      <c r="J22" s="363">
        <v>5254</v>
      </c>
      <c r="K22" s="363"/>
      <c r="L22" s="363">
        <v>5254</v>
      </c>
      <c r="M22" s="358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222">
        <v>5762</v>
      </c>
      <c r="T22" s="142" t="s">
        <v>3528</v>
      </c>
      <c r="V22" s="75">
        <v>3226</v>
      </c>
      <c r="W22" s="75" t="s">
        <v>175</v>
      </c>
      <c r="Y22" s="290" t="str">
        <f t="shared" si="9"/>
        <v>32</v>
      </c>
      <c r="Z22" s="75" t="str">
        <f t="shared" si="10"/>
        <v>322</v>
      </c>
      <c r="AB22" t="s">
        <v>1623</v>
      </c>
      <c r="AC22" t="s">
        <v>1624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360">
        <v>3233</v>
      </c>
      <c r="F23" s="361" t="str">
        <f t="shared" si="2"/>
        <v>Usluge promidžbe i informiranja</v>
      </c>
      <c r="G23" s="362" t="s">
        <v>672</v>
      </c>
      <c r="H23" s="361" t="str">
        <f t="shared" si="3"/>
        <v>PROGRAMSKO FINANCIRANJE JAVNIH VISOKIH UČILIŠTA</v>
      </c>
      <c r="I23" s="361" t="str">
        <f t="shared" si="4"/>
        <v>0942</v>
      </c>
      <c r="J23" s="363"/>
      <c r="K23" s="363"/>
      <c r="L23" s="363"/>
      <c r="M23" s="358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142">
        <v>581</v>
      </c>
      <c r="T23" s="143" t="s">
        <v>1777</v>
      </c>
      <c r="V23" s="75">
        <v>3227</v>
      </c>
      <c r="W23" s="75" t="s">
        <v>118</v>
      </c>
      <c r="Y23" s="290" t="str">
        <f t="shared" si="9"/>
        <v>32</v>
      </c>
      <c r="Z23" s="75" t="str">
        <f t="shared" si="10"/>
        <v>322</v>
      </c>
      <c r="AB23" t="s">
        <v>1803</v>
      </c>
      <c r="AC23" t="s">
        <v>1804</v>
      </c>
      <c r="AD23" s="75" t="s">
        <v>5139</v>
      </c>
      <c r="AE23" s="75" t="s">
        <v>5140</v>
      </c>
      <c r="AF23" s="75" t="s">
        <v>5165</v>
      </c>
      <c r="AG23" s="75" t="s">
        <v>5172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360">
        <v>3241</v>
      </c>
      <c r="F24" s="361" t="str">
        <f t="shared" si="2"/>
        <v>Naknade troškova osobama izvan radnog odnosa</v>
      </c>
      <c r="G24" s="362" t="s">
        <v>672</v>
      </c>
      <c r="H24" s="361" t="str">
        <f t="shared" si="3"/>
        <v>PROGRAMSKO FINANCIRANJE JAVNIH VISOKIH UČILIŠTA</v>
      </c>
      <c r="I24" s="361" t="str">
        <f t="shared" si="4"/>
        <v>0942</v>
      </c>
      <c r="J24" s="363">
        <v>21042</v>
      </c>
      <c r="K24" s="363"/>
      <c r="L24" s="363">
        <v>21042</v>
      </c>
      <c r="M24" s="355"/>
      <c r="O24" s="75" t="str">
        <f t="shared" si="5"/>
        <v>324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61</v>
      </c>
      <c r="T24" s="75" t="s">
        <v>115</v>
      </c>
      <c r="V24" s="75">
        <v>3231</v>
      </c>
      <c r="W24" s="75" t="s">
        <v>102</v>
      </c>
      <c r="Y24" s="290" t="str">
        <f t="shared" si="9"/>
        <v>32</v>
      </c>
      <c r="Z24" s="75" t="str">
        <f t="shared" si="10"/>
        <v>323</v>
      </c>
      <c r="AB24" t="s">
        <v>1805</v>
      </c>
      <c r="AC24" t="s">
        <v>1806</v>
      </c>
      <c r="AD24" s="75" t="s">
        <v>5143</v>
      </c>
      <c r="AE24" s="75" t="s">
        <v>5144</v>
      </c>
      <c r="AF24" s="75" t="s">
        <v>5165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360">
        <v>3292</v>
      </c>
      <c r="F25" s="361" t="str">
        <f t="shared" si="2"/>
        <v>Premije osiguranja</v>
      </c>
      <c r="G25" s="362" t="s">
        <v>672</v>
      </c>
      <c r="H25" s="361" t="str">
        <f t="shared" si="3"/>
        <v>PROGRAMSKO FINANCIRANJE JAVNIH VISOKIH UČILIŠTA</v>
      </c>
      <c r="I25" s="361" t="str">
        <f t="shared" si="4"/>
        <v>0942</v>
      </c>
      <c r="J25" s="363"/>
      <c r="K25" s="363"/>
      <c r="L25" s="363"/>
      <c r="M25" s="355"/>
      <c r="O25" s="75" t="str">
        <f t="shared" si="5"/>
        <v>329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S25" s="75">
        <v>71</v>
      </c>
      <c r="T25" s="75" t="s">
        <v>173</v>
      </c>
      <c r="V25" s="75">
        <v>3232</v>
      </c>
      <c r="W25" s="75" t="s">
        <v>89</v>
      </c>
      <c r="Y25" s="290" t="str">
        <f t="shared" si="9"/>
        <v>32</v>
      </c>
      <c r="Z25" s="75" t="str">
        <f t="shared" si="10"/>
        <v>323</v>
      </c>
      <c r="AB25" t="s">
        <v>1807</v>
      </c>
      <c r="AC25" t="s">
        <v>1808</v>
      </c>
      <c r="AD25" s="75" t="s">
        <v>5145</v>
      </c>
      <c r="AE25" s="75" t="s">
        <v>5146</v>
      </c>
      <c r="AF25" s="75" t="s">
        <v>5165</v>
      </c>
      <c r="AG25" s="75" t="s">
        <v>5174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360">
        <v>3299</v>
      </c>
      <c r="F26" s="361" t="str">
        <f t="shared" si="2"/>
        <v>Ostali nespomenuti rashodi poslovanja</v>
      </c>
      <c r="G26" s="362" t="s">
        <v>672</v>
      </c>
      <c r="H26" s="361" t="str">
        <f t="shared" si="3"/>
        <v>PROGRAMSKO FINANCIRANJE JAVNIH VISOKIH UČILIŠTA</v>
      </c>
      <c r="I26" s="361" t="str">
        <f t="shared" si="4"/>
        <v>0942</v>
      </c>
      <c r="J26" s="363">
        <v>30660</v>
      </c>
      <c r="K26" s="363"/>
      <c r="L26" s="363">
        <v>30660</v>
      </c>
      <c r="M26" s="359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S26" s="75">
        <v>81</v>
      </c>
      <c r="T26" s="75" t="s">
        <v>56</v>
      </c>
      <c r="V26" s="75">
        <v>3233</v>
      </c>
      <c r="W26" s="75" t="s">
        <v>77</v>
      </c>
      <c r="Y26" s="290" t="str">
        <f t="shared" si="9"/>
        <v>32</v>
      </c>
      <c r="Z26" s="75" t="str">
        <f t="shared" si="10"/>
        <v>323</v>
      </c>
      <c r="AB26" t="s">
        <v>1809</v>
      </c>
      <c r="AC26" t="s">
        <v>1810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360">
        <v>3234</v>
      </c>
      <c r="F27" s="361" t="str">
        <f t="shared" si="2"/>
        <v>Komunalne usluge</v>
      </c>
      <c r="G27" s="362" t="s">
        <v>672</v>
      </c>
      <c r="H27" s="361" t="str">
        <f t="shared" si="3"/>
        <v>PROGRAMSKO FINANCIRANJE JAVNIH VISOKIH UČILIŠTA</v>
      </c>
      <c r="I27" s="361" t="str">
        <f t="shared" si="4"/>
        <v>0942</v>
      </c>
      <c r="J27" s="363">
        <v>5694</v>
      </c>
      <c r="K27" s="363"/>
      <c r="L27" s="363">
        <v>5694</v>
      </c>
      <c r="M27" s="355"/>
      <c r="O27" s="75" t="str">
        <f t="shared" si="5"/>
        <v>323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3234</v>
      </c>
      <c r="W27" s="75" t="s">
        <v>90</v>
      </c>
      <c r="Y27" s="290" t="str">
        <f t="shared" si="9"/>
        <v>32</v>
      </c>
      <c r="Z27" s="75" t="str">
        <f t="shared" si="10"/>
        <v>323</v>
      </c>
      <c r="AB27" t="s">
        <v>1811</v>
      </c>
      <c r="AC27" t="s">
        <v>1812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360">
        <v>3235</v>
      </c>
      <c r="F28" s="361" t="str">
        <f t="shared" si="2"/>
        <v>Zakupnine i najamnine</v>
      </c>
      <c r="G28" s="362" t="s">
        <v>672</v>
      </c>
      <c r="H28" s="361" t="str">
        <f t="shared" si="3"/>
        <v>PROGRAMSKO FINANCIRANJE JAVNIH VISOKIH UČILIŠTA</v>
      </c>
      <c r="I28" s="361" t="str">
        <f t="shared" si="4"/>
        <v>0942</v>
      </c>
      <c r="J28" s="363">
        <v>7884</v>
      </c>
      <c r="K28" s="363"/>
      <c r="L28" s="363">
        <v>7884</v>
      </c>
      <c r="M28" s="355"/>
      <c r="O28" s="75" t="str">
        <f t="shared" si="5"/>
        <v>323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3235</v>
      </c>
      <c r="W28" s="75" t="s">
        <v>110</v>
      </c>
      <c r="Y28" s="290" t="str">
        <f t="shared" si="9"/>
        <v>32</v>
      </c>
      <c r="Z28" s="75" t="str">
        <f t="shared" si="10"/>
        <v>323</v>
      </c>
      <c r="AB28" t="s">
        <v>1813</v>
      </c>
      <c r="AC28" t="s">
        <v>1814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360">
        <v>3238</v>
      </c>
      <c r="F29" s="361" t="str">
        <f t="shared" si="2"/>
        <v>Računalne usluge</v>
      </c>
      <c r="G29" s="362" t="s">
        <v>672</v>
      </c>
      <c r="H29" s="361" t="str">
        <f t="shared" si="3"/>
        <v>PROGRAMSKO FINANCIRANJE JAVNIH VISOKIH UČILIŠTA</v>
      </c>
      <c r="I29" s="361" t="str">
        <f t="shared" si="4"/>
        <v>0942</v>
      </c>
      <c r="J29" s="363"/>
      <c r="K29" s="363"/>
      <c r="L29" s="363"/>
      <c r="M29" s="355"/>
      <c r="O29" s="75" t="str">
        <f t="shared" si="5"/>
        <v>323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3236</v>
      </c>
      <c r="W29" s="75" t="s">
        <v>53</v>
      </c>
      <c r="Y29" s="290" t="str">
        <f t="shared" si="9"/>
        <v>32</v>
      </c>
      <c r="Z29" s="75" t="str">
        <f t="shared" si="10"/>
        <v>323</v>
      </c>
      <c r="AB29" t="s">
        <v>1815</v>
      </c>
      <c r="AC29" t="s">
        <v>1816</v>
      </c>
      <c r="AD29" s="75" t="s">
        <v>5151</v>
      </c>
      <c r="AE29" s="75" t="s">
        <v>5152</v>
      </c>
      <c r="AF29" s="75" t="s">
        <v>5165</v>
      </c>
      <c r="AG29" s="75" t="s">
        <v>5172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360">
        <v>3239</v>
      </c>
      <c r="F30" s="361" t="str">
        <f t="shared" si="2"/>
        <v>Ostale usluge</v>
      </c>
      <c r="G30" s="362" t="s">
        <v>672</v>
      </c>
      <c r="H30" s="361" t="str">
        <f t="shared" si="3"/>
        <v>PROGRAMSKO FINANCIRANJE JAVNIH VISOKIH UČILIŠTA</v>
      </c>
      <c r="I30" s="361" t="str">
        <f t="shared" si="4"/>
        <v>0942</v>
      </c>
      <c r="J30" s="363">
        <v>14016</v>
      </c>
      <c r="K30" s="363"/>
      <c r="L30" s="363">
        <v>14016</v>
      </c>
      <c r="M30" s="355"/>
      <c r="O30" s="75" t="str">
        <f t="shared" si="5"/>
        <v>323</v>
      </c>
      <c r="P30" s="75" t="str">
        <f t="shared" si="6"/>
        <v>32</v>
      </c>
      <c r="Q30" s="75" t="str">
        <f t="shared" si="7"/>
        <v>11</v>
      </c>
      <c r="R30" s="75" t="str">
        <f t="shared" si="8"/>
        <v>94</v>
      </c>
      <c r="V30" s="75">
        <v>3237</v>
      </c>
      <c r="W30" s="75" t="s">
        <v>66</v>
      </c>
      <c r="Y30" s="290" t="str">
        <f t="shared" si="9"/>
        <v>32</v>
      </c>
      <c r="Z30" s="75" t="str">
        <f t="shared" si="10"/>
        <v>323</v>
      </c>
      <c r="AB30" t="s">
        <v>948</v>
      </c>
      <c r="AC30" t="s">
        <v>949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360">
        <v>3221</v>
      </c>
      <c r="F31" s="361" t="str">
        <f t="shared" si="2"/>
        <v>Uredski materijal i ostali materijalni rashodi</v>
      </c>
      <c r="G31" s="362" t="s">
        <v>672</v>
      </c>
      <c r="H31" s="361" t="str">
        <f t="shared" si="3"/>
        <v>PROGRAMSKO FINANCIRANJE JAVNIH VISOKIH UČILIŠTA</v>
      </c>
      <c r="I31" s="361" t="str">
        <f t="shared" si="4"/>
        <v>0942</v>
      </c>
      <c r="J31" s="363">
        <v>7008</v>
      </c>
      <c r="K31" s="363"/>
      <c r="L31" s="363">
        <v>7008</v>
      </c>
      <c r="M31" s="357"/>
      <c r="O31" s="75" t="str">
        <f t="shared" si="5"/>
        <v>322</v>
      </c>
      <c r="P31" s="75" t="str">
        <f t="shared" si="6"/>
        <v>32</v>
      </c>
      <c r="Q31" s="75" t="str">
        <f t="shared" si="7"/>
        <v>11</v>
      </c>
      <c r="R31" s="75" t="str">
        <f t="shared" si="8"/>
        <v>94</v>
      </c>
      <c r="V31" s="75">
        <v>3238</v>
      </c>
      <c r="W31" s="75" t="s">
        <v>103</v>
      </c>
      <c r="Y31" s="290" t="str">
        <f t="shared" si="9"/>
        <v>32</v>
      </c>
      <c r="Z31" s="75" t="str">
        <f t="shared" si="10"/>
        <v>323</v>
      </c>
      <c r="AB31" t="s">
        <v>1817</v>
      </c>
      <c r="AC31" t="s">
        <v>1818</v>
      </c>
      <c r="AD31" s="75" t="s">
        <v>5145</v>
      </c>
      <c r="AE31" s="75" t="s">
        <v>5146</v>
      </c>
      <c r="AF31" s="75" t="s">
        <v>5165</v>
      </c>
      <c r="AG31" s="75" t="s">
        <v>5174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360">
        <v>3293</v>
      </c>
      <c r="F32" s="361" t="str">
        <f t="shared" si="2"/>
        <v>Reprezentacija</v>
      </c>
      <c r="G32" s="362" t="s">
        <v>672</v>
      </c>
      <c r="H32" s="361" t="str">
        <f t="shared" si="3"/>
        <v>PROGRAMSKO FINANCIRANJE JAVNIH VISOKIH UČILIŠTA</v>
      </c>
      <c r="I32" s="361" t="str">
        <f t="shared" si="4"/>
        <v>0942</v>
      </c>
      <c r="J32" s="363"/>
      <c r="K32" s="363"/>
      <c r="L32" s="363"/>
      <c r="M32" s="355"/>
      <c r="O32" s="75" t="str">
        <f t="shared" si="5"/>
        <v>329</v>
      </c>
      <c r="P32" s="75" t="str">
        <f t="shared" si="6"/>
        <v>32</v>
      </c>
      <c r="Q32" s="75" t="str">
        <f t="shared" si="7"/>
        <v>11</v>
      </c>
      <c r="R32" s="75" t="str">
        <f t="shared" si="8"/>
        <v>94</v>
      </c>
      <c r="V32" s="75">
        <v>3239</v>
      </c>
      <c r="W32" s="75" t="s">
        <v>83</v>
      </c>
      <c r="Y32" s="290" t="str">
        <f t="shared" si="9"/>
        <v>32</v>
      </c>
      <c r="Z32" s="75" t="str">
        <f t="shared" si="10"/>
        <v>323</v>
      </c>
      <c r="AB32" t="s">
        <v>1819</v>
      </c>
      <c r="AC32" t="s">
        <v>1820</v>
      </c>
      <c r="AD32" s="75" t="s">
        <v>5143</v>
      </c>
      <c r="AE32" s="75" t="s">
        <v>5144</v>
      </c>
      <c r="AF32" s="75" t="s">
        <v>5165</v>
      </c>
      <c r="AG32" s="75" t="s">
        <v>5175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360">
        <v>3294</v>
      </c>
      <c r="F33" s="361" t="str">
        <f t="shared" si="2"/>
        <v>Članarine i norme</v>
      </c>
      <c r="G33" s="362" t="s">
        <v>672</v>
      </c>
      <c r="H33" s="361" t="str">
        <f t="shared" si="3"/>
        <v>PROGRAMSKO FINANCIRANJE JAVNIH VISOKIH UČILIŠTA</v>
      </c>
      <c r="I33" s="361" t="str">
        <f t="shared" si="4"/>
        <v>0942</v>
      </c>
      <c r="J33" s="363"/>
      <c r="K33" s="363"/>
      <c r="L33" s="363"/>
      <c r="M33" s="355"/>
      <c r="O33" s="75" t="str">
        <f t="shared" si="5"/>
        <v>329</v>
      </c>
      <c r="P33" s="75" t="str">
        <f t="shared" si="6"/>
        <v>32</v>
      </c>
      <c r="Q33" s="75" t="str">
        <f t="shared" si="7"/>
        <v>11</v>
      </c>
      <c r="R33" s="75" t="str">
        <f t="shared" si="8"/>
        <v>94</v>
      </c>
      <c r="V33" s="75">
        <v>3241</v>
      </c>
      <c r="W33" s="75" t="s">
        <v>80</v>
      </c>
      <c r="Y33" s="290" t="str">
        <f t="shared" si="9"/>
        <v>32</v>
      </c>
      <c r="Z33" s="75" t="str">
        <f t="shared" si="10"/>
        <v>324</v>
      </c>
      <c r="AB33" t="s">
        <v>1821</v>
      </c>
      <c r="AC33" t="s">
        <v>1822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360">
        <v>3423</v>
      </c>
      <c r="F34" s="361" t="str">
        <f t="shared" si="2"/>
        <v>Kamate za primljene kredite i zajmove od kreditnih i ostalih</v>
      </c>
      <c r="G34" s="362" t="s">
        <v>672</v>
      </c>
      <c r="H34" s="361" t="str">
        <f t="shared" si="3"/>
        <v>PROGRAMSKO FINANCIRANJE JAVNIH VISOKIH UČILIŠTA</v>
      </c>
      <c r="I34" s="361" t="str">
        <f t="shared" si="4"/>
        <v>0942</v>
      </c>
      <c r="J34" s="363"/>
      <c r="K34" s="363"/>
      <c r="L34" s="363"/>
      <c r="M34" s="355"/>
      <c r="O34" s="75" t="str">
        <f t="shared" si="5"/>
        <v>342</v>
      </c>
      <c r="P34" s="75" t="str">
        <f t="shared" si="6"/>
        <v>34</v>
      </c>
      <c r="Q34" s="75" t="str">
        <f t="shared" si="7"/>
        <v>11</v>
      </c>
      <c r="R34" s="75" t="str">
        <f t="shared" si="8"/>
        <v>94</v>
      </c>
      <c r="V34" s="75">
        <v>3291</v>
      </c>
      <c r="W34" s="75" t="s">
        <v>81</v>
      </c>
      <c r="Y34" s="290" t="str">
        <f t="shared" si="9"/>
        <v>32</v>
      </c>
      <c r="Z34" s="75" t="str">
        <f t="shared" si="10"/>
        <v>329</v>
      </c>
      <c r="AB34" t="s">
        <v>1823</v>
      </c>
      <c r="AC34" t="s">
        <v>1824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360">
        <v>3431</v>
      </c>
      <c r="F35" s="361" t="str">
        <f t="shared" si="2"/>
        <v>Bankarske usluge i usluge platnog prometa</v>
      </c>
      <c r="G35" s="362" t="s">
        <v>672</v>
      </c>
      <c r="H35" s="361" t="str">
        <f t="shared" si="3"/>
        <v>PROGRAMSKO FINANCIRANJE JAVNIH VISOKIH UČILIŠTA</v>
      </c>
      <c r="I35" s="361" t="str">
        <f t="shared" si="4"/>
        <v>0942</v>
      </c>
      <c r="J35" s="363"/>
      <c r="K35" s="363"/>
      <c r="L35" s="363"/>
      <c r="M35" s="355"/>
      <c r="O35" s="75" t="str">
        <f t="shared" si="5"/>
        <v>343</v>
      </c>
      <c r="P35" s="75" t="str">
        <f t="shared" si="6"/>
        <v>34</v>
      </c>
      <c r="Q35" s="75" t="str">
        <f t="shared" si="7"/>
        <v>11</v>
      </c>
      <c r="R35" s="75" t="str">
        <f t="shared" si="8"/>
        <v>94</v>
      </c>
      <c r="V35" s="75">
        <v>3292</v>
      </c>
      <c r="W35" s="75" t="s">
        <v>74</v>
      </c>
      <c r="Y35" s="290" t="str">
        <f t="shared" si="9"/>
        <v>32</v>
      </c>
      <c r="Z35" s="75" t="str">
        <f t="shared" si="10"/>
        <v>329</v>
      </c>
      <c r="AB35" t="s">
        <v>1825</v>
      </c>
      <c r="AC35" t="s">
        <v>1826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1"/>
        <v>Opći prihodi i primici</v>
      </c>
      <c r="E36" s="360">
        <v>3432</v>
      </c>
      <c r="F36" s="361" t="s">
        <v>5270</v>
      </c>
      <c r="G36" s="362" t="s">
        <v>672</v>
      </c>
      <c r="H36" s="361" t="str">
        <f t="shared" si="3"/>
        <v>PROGRAMSKO FINANCIRANJE JAVNIH VISOKIH UČILIŠTA</v>
      </c>
      <c r="I36" s="361" t="str">
        <f t="shared" si="4"/>
        <v>0942</v>
      </c>
      <c r="J36" s="363"/>
      <c r="K36" s="363"/>
      <c r="L36" s="363"/>
      <c r="M36" s="355"/>
      <c r="O36" s="75" t="str">
        <f t="shared" si="5"/>
        <v>343</v>
      </c>
      <c r="P36" s="75" t="str">
        <f t="shared" si="6"/>
        <v>34</v>
      </c>
      <c r="Q36" s="75" t="str">
        <f t="shared" si="7"/>
        <v>11</v>
      </c>
      <c r="R36" s="75" t="str">
        <f t="shared" si="8"/>
        <v>94</v>
      </c>
      <c r="V36" s="75">
        <v>3293</v>
      </c>
      <c r="W36" s="75" t="s">
        <v>84</v>
      </c>
      <c r="Y36" s="290" t="str">
        <f t="shared" si="9"/>
        <v>32</v>
      </c>
      <c r="Z36" s="75" t="str">
        <f t="shared" si="10"/>
        <v>329</v>
      </c>
      <c r="AB36" t="s">
        <v>1827</v>
      </c>
      <c r="AC36" t="s">
        <v>1828</v>
      </c>
      <c r="AD36" s="75" t="s">
        <v>5141</v>
      </c>
      <c r="AE36" s="75" t="s">
        <v>5142</v>
      </c>
      <c r="AF36" s="75" t="s">
        <v>5167</v>
      </c>
      <c r="AG36" s="75" t="s">
        <v>5168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1"/>
        <v>Opći prihodi i primici</v>
      </c>
      <c r="E37" s="360">
        <v>3721</v>
      </c>
      <c r="F37" s="361" t="str">
        <f t="shared" si="2"/>
        <v>Naknade građanima i kućanstvima u novcu</v>
      </c>
      <c r="G37" s="362" t="s">
        <v>672</v>
      </c>
      <c r="H37" s="361" t="str">
        <f t="shared" si="3"/>
        <v>PROGRAMSKO FINANCIRANJE JAVNIH VISOKIH UČILIŠTA</v>
      </c>
      <c r="I37" s="361" t="str">
        <f t="shared" si="4"/>
        <v>0942</v>
      </c>
      <c r="J37" s="363"/>
      <c r="K37" s="363"/>
      <c r="L37" s="363"/>
      <c r="M37" s="355"/>
      <c r="O37" s="75" t="str">
        <f t="shared" si="5"/>
        <v>372</v>
      </c>
      <c r="P37" s="75" t="str">
        <f t="shared" si="6"/>
        <v>37</v>
      </c>
      <c r="Q37" s="75" t="str">
        <f t="shared" si="7"/>
        <v>11</v>
      </c>
      <c r="R37" s="75" t="str">
        <f t="shared" si="8"/>
        <v>94</v>
      </c>
      <c r="V37" s="75">
        <v>3293</v>
      </c>
      <c r="W37" s="75" t="s">
        <v>131</v>
      </c>
      <c r="Y37" s="290" t="str">
        <f t="shared" si="9"/>
        <v>32</v>
      </c>
      <c r="Z37" s="75" t="str">
        <f t="shared" si="10"/>
        <v>329</v>
      </c>
      <c r="AB37" t="s">
        <v>1625</v>
      </c>
      <c r="AC37" t="s">
        <v>1626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1"/>
        <v>Opći prihodi i primici</v>
      </c>
      <c r="E38" s="360">
        <v>4521</v>
      </c>
      <c r="F38" s="361" t="str">
        <f t="shared" si="2"/>
        <v>Dodatna ulaganja na postrojenjima i opremi</v>
      </c>
      <c r="G38" s="362" t="s">
        <v>672</v>
      </c>
      <c r="H38" s="361" t="str">
        <f t="shared" si="3"/>
        <v>PROGRAMSKO FINANCIRANJE JAVNIH VISOKIH UČILIŠTA</v>
      </c>
      <c r="I38" s="361" t="str">
        <f t="shared" si="4"/>
        <v>0942</v>
      </c>
      <c r="J38" s="363"/>
      <c r="K38" s="363"/>
      <c r="L38" s="363"/>
      <c r="M38" s="355"/>
      <c r="O38" s="75" t="str">
        <f t="shared" si="5"/>
        <v>452</v>
      </c>
      <c r="P38" s="75" t="str">
        <f t="shared" si="6"/>
        <v>45</v>
      </c>
      <c r="Q38" s="75" t="str">
        <f t="shared" si="7"/>
        <v>11</v>
      </c>
      <c r="R38" s="75" t="str">
        <f t="shared" si="8"/>
        <v>94</v>
      </c>
      <c r="V38" s="75">
        <v>3294</v>
      </c>
      <c r="W38" s="75" t="s">
        <v>85</v>
      </c>
      <c r="Y38" s="290" t="str">
        <f t="shared" si="9"/>
        <v>32</v>
      </c>
      <c r="Z38" s="75" t="str">
        <f t="shared" si="10"/>
        <v>329</v>
      </c>
      <c r="AB38" t="s">
        <v>1627</v>
      </c>
      <c r="AC38" t="s">
        <v>1628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1"/>
        <v>Opći prihodi i primici</v>
      </c>
      <c r="E39" s="360">
        <v>4511</v>
      </c>
      <c r="F39" s="361" t="str">
        <f t="shared" si="2"/>
        <v>Dodatna ulaganja na građevinskim objektima</v>
      </c>
      <c r="G39" s="362" t="s">
        <v>672</v>
      </c>
      <c r="H39" s="361" t="str">
        <f t="shared" si="3"/>
        <v>PROGRAMSKO FINANCIRANJE JAVNIH VISOKIH UČILIŠTA</v>
      </c>
      <c r="I39" s="361" t="str">
        <f t="shared" si="4"/>
        <v>0942</v>
      </c>
      <c r="J39" s="363"/>
      <c r="K39" s="363"/>
      <c r="L39" s="363"/>
      <c r="M39" s="355"/>
      <c r="O39" s="75" t="str">
        <f t="shared" si="5"/>
        <v>451</v>
      </c>
      <c r="P39" s="75" t="str">
        <f t="shared" si="6"/>
        <v>45</v>
      </c>
      <c r="Q39" s="75" t="str">
        <f t="shared" si="7"/>
        <v>11</v>
      </c>
      <c r="R39" s="75" t="str">
        <f t="shared" si="8"/>
        <v>94</v>
      </c>
      <c r="V39" s="75">
        <v>3295</v>
      </c>
      <c r="W39" s="75" t="s">
        <v>54</v>
      </c>
      <c r="Y39" s="290" t="str">
        <f t="shared" si="9"/>
        <v>32</v>
      </c>
      <c r="Z39" s="75" t="str">
        <f t="shared" si="10"/>
        <v>329</v>
      </c>
      <c r="AB39" t="s">
        <v>1829</v>
      </c>
      <c r="AC39" t="s">
        <v>1830</v>
      </c>
      <c r="AD39" s="75" t="s">
        <v>5143</v>
      </c>
      <c r="AE39" s="75" t="s">
        <v>5144</v>
      </c>
      <c r="AF39" s="75" t="s">
        <v>5165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1"/>
        <v>Ostali prihodi za posebne namjene</v>
      </c>
      <c r="E40" s="360">
        <v>3111</v>
      </c>
      <c r="F40" s="361" t="str">
        <f t="shared" si="2"/>
        <v>Plaće za redovan rad</v>
      </c>
      <c r="G40" s="362" t="s">
        <v>177</v>
      </c>
      <c r="H40" s="361" t="str">
        <f t="shared" si="3"/>
        <v>REDOVNA DJELATNOST SVEUČILIŠTA U OSIJEKU (IZ EVIDENCIJSKIH PRIHODA)</v>
      </c>
      <c r="I40" s="361" t="str">
        <f t="shared" si="4"/>
        <v>0942</v>
      </c>
      <c r="J40" s="363">
        <v>15333</v>
      </c>
      <c r="K40" s="363">
        <v>11000</v>
      </c>
      <c r="L40" s="363">
        <v>26333</v>
      </c>
      <c r="M40" s="84"/>
      <c r="O40" s="75" t="str">
        <f t="shared" si="5"/>
        <v>311</v>
      </c>
      <c r="P40" s="75" t="str">
        <f t="shared" si="6"/>
        <v>31</v>
      </c>
      <c r="Q40" s="75" t="str">
        <f t="shared" si="7"/>
        <v>43</v>
      </c>
      <c r="R40" s="75" t="str">
        <f t="shared" si="8"/>
        <v>94</v>
      </c>
      <c r="V40" s="75">
        <v>3296</v>
      </c>
      <c r="W40" s="75" t="s">
        <v>148</v>
      </c>
      <c r="Y40" s="290" t="str">
        <f t="shared" si="9"/>
        <v>32</v>
      </c>
      <c r="Z40" s="75" t="str">
        <f t="shared" si="10"/>
        <v>329</v>
      </c>
      <c r="AB40" t="s">
        <v>1831</v>
      </c>
      <c r="AC40" t="s">
        <v>1832</v>
      </c>
      <c r="AD40" s="75" t="s">
        <v>5153</v>
      </c>
      <c r="AE40" s="75" t="s">
        <v>5154</v>
      </c>
      <c r="AF40" s="75" t="s">
        <v>5167</v>
      </c>
      <c r="AG40" s="75" t="s">
        <v>5180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1"/>
        <v>Ostali prihodi za posebne namjene</v>
      </c>
      <c r="E41" s="360">
        <v>3121</v>
      </c>
      <c r="F41" s="361" t="str">
        <f t="shared" si="2"/>
        <v>Ostali rashodi za zaposlene</v>
      </c>
      <c r="G41" s="362" t="s">
        <v>177</v>
      </c>
      <c r="H41" s="361" t="str">
        <f t="shared" si="3"/>
        <v>REDOVNA DJELATNOST SVEUČILIŠTA U OSIJEKU (IZ EVIDENCIJSKIH PRIHODA)</v>
      </c>
      <c r="I41" s="361" t="str">
        <f t="shared" si="4"/>
        <v>0942</v>
      </c>
      <c r="J41" s="363">
        <v>15000</v>
      </c>
      <c r="K41" s="363">
        <v>10000</v>
      </c>
      <c r="L41" s="363">
        <v>25000</v>
      </c>
      <c r="M41" s="84"/>
      <c r="O41" s="75" t="str">
        <f t="shared" si="5"/>
        <v>312</v>
      </c>
      <c r="P41" s="75" t="str">
        <f t="shared" si="6"/>
        <v>31</v>
      </c>
      <c r="Q41" s="75" t="str">
        <f t="shared" si="7"/>
        <v>43</v>
      </c>
      <c r="R41" s="75" t="str">
        <f t="shared" si="8"/>
        <v>94</v>
      </c>
      <c r="V41" s="75">
        <v>3299</v>
      </c>
      <c r="W41" s="75" t="s">
        <v>57</v>
      </c>
      <c r="Y41" s="290" t="str">
        <f t="shared" si="9"/>
        <v>32</v>
      </c>
      <c r="Z41" s="75" t="str">
        <f t="shared" si="10"/>
        <v>329</v>
      </c>
      <c r="AB41" t="s">
        <v>1831</v>
      </c>
      <c r="AC41" t="s">
        <v>1832</v>
      </c>
      <c r="AD41" s="75" t="s">
        <v>5139</v>
      </c>
      <c r="AE41" s="75" t="s">
        <v>5140</v>
      </c>
      <c r="AF41" s="75" t="s">
        <v>5165</v>
      </c>
      <c r="AG41" s="75" t="s">
        <v>5172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1"/>
        <v>Ostali prihodi za posebne namjene</v>
      </c>
      <c r="E42" s="360">
        <v>3292</v>
      </c>
      <c r="F42" s="361" t="str">
        <f t="shared" si="2"/>
        <v>Premije osiguranja</v>
      </c>
      <c r="G42" s="362" t="s">
        <v>177</v>
      </c>
      <c r="H42" s="361" t="str">
        <f t="shared" si="3"/>
        <v>REDOVNA DJELATNOST SVEUČILIŠTA U OSIJEKU (IZ EVIDENCIJSKIH PRIHODA)</v>
      </c>
      <c r="I42" s="361" t="str">
        <f t="shared" si="4"/>
        <v>0942</v>
      </c>
      <c r="J42" s="363"/>
      <c r="K42" s="363">
        <v>1237</v>
      </c>
      <c r="L42" s="363">
        <v>1237</v>
      </c>
      <c r="M42" s="84"/>
      <c r="O42" s="75" t="str">
        <f t="shared" si="5"/>
        <v>329</v>
      </c>
      <c r="P42" s="75" t="str">
        <f t="shared" si="6"/>
        <v>32</v>
      </c>
      <c r="Q42" s="75" t="str">
        <f t="shared" si="7"/>
        <v>43</v>
      </c>
      <c r="R42" s="75" t="str">
        <f t="shared" si="8"/>
        <v>94</v>
      </c>
      <c r="V42" s="75">
        <v>3411</v>
      </c>
      <c r="W42" s="75" t="s">
        <v>186</v>
      </c>
      <c r="Y42" s="290" t="str">
        <f t="shared" si="9"/>
        <v>34</v>
      </c>
      <c r="Z42" s="75" t="str">
        <f t="shared" si="10"/>
        <v>341</v>
      </c>
      <c r="AB42" t="s">
        <v>1833</v>
      </c>
      <c r="AC42" t="s">
        <v>1834</v>
      </c>
      <c r="AD42" s="75" t="s">
        <v>5139</v>
      </c>
      <c r="AE42" s="75" t="s">
        <v>5140</v>
      </c>
      <c r="AF42" s="75" t="s">
        <v>5165</v>
      </c>
      <c r="AG42" s="75" t="s">
        <v>5172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1"/>
        <v>Ostali prihodi za posebne namjene</v>
      </c>
      <c r="E43" s="360">
        <v>3211</v>
      </c>
      <c r="F43" s="361" t="str">
        <f t="shared" si="2"/>
        <v>Službena putovanja</v>
      </c>
      <c r="G43" s="362" t="s">
        <v>177</v>
      </c>
      <c r="H43" s="361" t="str">
        <f t="shared" si="3"/>
        <v>REDOVNA DJELATNOST SVEUČILIŠTA U OSIJEKU (IZ EVIDENCIJSKIH PRIHODA)</v>
      </c>
      <c r="I43" s="361" t="str">
        <f t="shared" si="4"/>
        <v>0942</v>
      </c>
      <c r="J43" s="363">
        <v>25890</v>
      </c>
      <c r="K43" s="363"/>
      <c r="L43" s="363">
        <v>25890</v>
      </c>
      <c r="M43" s="84"/>
      <c r="O43" s="75" t="str">
        <f t="shared" si="5"/>
        <v>321</v>
      </c>
      <c r="P43" s="75" t="str">
        <f t="shared" si="6"/>
        <v>32</v>
      </c>
      <c r="Q43" s="75" t="str">
        <f t="shared" si="7"/>
        <v>43</v>
      </c>
      <c r="R43" s="75" t="str">
        <f t="shared" si="8"/>
        <v>94</v>
      </c>
      <c r="V43" s="75">
        <v>3422</v>
      </c>
      <c r="W43" s="75" t="s">
        <v>149</v>
      </c>
      <c r="Y43" s="290" t="str">
        <f t="shared" si="9"/>
        <v>34</v>
      </c>
      <c r="Z43" s="75" t="str">
        <f t="shared" si="10"/>
        <v>342</v>
      </c>
      <c r="AB43" t="s">
        <v>1835</v>
      </c>
      <c r="AC43" t="s">
        <v>1836</v>
      </c>
      <c r="AD43" s="75" t="s">
        <v>5143</v>
      </c>
      <c r="AE43" s="75" t="s">
        <v>5144</v>
      </c>
      <c r="AF43" s="75" t="s">
        <v>5165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1"/>
        <v>Ostali prihodi za posebne namjene</v>
      </c>
      <c r="E44" s="360">
        <v>3214</v>
      </c>
      <c r="F44" s="361" t="str">
        <f t="shared" si="2"/>
        <v>Ostale naknade troškova zaposlenima</v>
      </c>
      <c r="G44" s="362" t="s">
        <v>177</v>
      </c>
      <c r="H44" s="361" t="str">
        <f t="shared" si="3"/>
        <v>REDOVNA DJELATNOST SVEUČILIŠTA U OSIJEKU (IZ EVIDENCIJSKIH PRIHODA)</v>
      </c>
      <c r="I44" s="361" t="str">
        <f t="shared" si="4"/>
        <v>0942</v>
      </c>
      <c r="J44" s="363">
        <v>900</v>
      </c>
      <c r="K44" s="363">
        <v>700</v>
      </c>
      <c r="L44" s="363">
        <v>1600</v>
      </c>
      <c r="M44" s="84"/>
      <c r="O44" s="75" t="str">
        <f t="shared" si="5"/>
        <v>321</v>
      </c>
      <c r="P44" s="75" t="str">
        <f t="shared" si="6"/>
        <v>32</v>
      </c>
      <c r="Q44" s="75" t="str">
        <f t="shared" si="7"/>
        <v>43</v>
      </c>
      <c r="R44" s="75" t="str">
        <f t="shared" si="8"/>
        <v>94</v>
      </c>
      <c r="V44" s="75">
        <v>3423</v>
      </c>
      <c r="W44" s="75" t="s">
        <v>149</v>
      </c>
      <c r="Y44" s="290" t="str">
        <f t="shared" ref="Y44:Y76" si="11">LEFT(V44,2)</f>
        <v>34</v>
      </c>
      <c r="Z44" s="75" t="str">
        <f t="shared" ref="Z44:Z76" si="12">LEFT(V44,3)</f>
        <v>342</v>
      </c>
      <c r="AB44" t="s">
        <v>1837</v>
      </c>
      <c r="AC44" t="s">
        <v>933</v>
      </c>
      <c r="AD44" s="75" t="s">
        <v>5153</v>
      </c>
      <c r="AE44" s="75" t="s">
        <v>5154</v>
      </c>
      <c r="AF44" s="75" t="s">
        <v>5167</v>
      </c>
      <c r="AG44" s="75" t="s">
        <v>5180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1"/>
        <v>Ostali prihodi za posebne namjene</v>
      </c>
      <c r="E45" s="360">
        <v>3213</v>
      </c>
      <c r="F45" s="361" t="str">
        <f t="shared" si="2"/>
        <v>Stručno usavršavanje zaposlenika</v>
      </c>
      <c r="G45" s="362" t="s">
        <v>177</v>
      </c>
      <c r="H45" s="361" t="str">
        <f t="shared" si="3"/>
        <v>REDOVNA DJELATNOST SVEUČILIŠTA U OSIJEKU (IZ EVIDENCIJSKIH PRIHODA)</v>
      </c>
      <c r="I45" s="361" t="str">
        <f t="shared" si="4"/>
        <v>0942</v>
      </c>
      <c r="J45" s="363">
        <v>8500</v>
      </c>
      <c r="K45" s="363"/>
      <c r="L45" s="363">
        <v>8500</v>
      </c>
      <c r="M45" s="84"/>
      <c r="O45" s="75" t="str">
        <f t="shared" si="5"/>
        <v>321</v>
      </c>
      <c r="P45" s="75" t="str">
        <f t="shared" si="6"/>
        <v>32</v>
      </c>
      <c r="Q45" s="75" t="str">
        <f t="shared" si="7"/>
        <v>43</v>
      </c>
      <c r="R45" s="75" t="str">
        <f t="shared" si="8"/>
        <v>94</v>
      </c>
      <c r="V45" s="75">
        <v>3427</v>
      </c>
      <c r="W45" s="75" t="s">
        <v>188</v>
      </c>
      <c r="Y45" s="290" t="str">
        <f t="shared" si="11"/>
        <v>34</v>
      </c>
      <c r="Z45" s="75" t="str">
        <f t="shared" si="12"/>
        <v>342</v>
      </c>
      <c r="AB45" t="s">
        <v>1837</v>
      </c>
      <c r="AC45" t="s">
        <v>933</v>
      </c>
      <c r="AD45" s="75" t="s">
        <v>5139</v>
      </c>
      <c r="AE45" s="75" t="s">
        <v>5140</v>
      </c>
      <c r="AF45" s="75" t="s">
        <v>5165</v>
      </c>
      <c r="AG45" s="75" t="s">
        <v>5172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1"/>
        <v>Ostali prihodi za posebne namjene</v>
      </c>
      <c r="E46" s="360">
        <v>3221</v>
      </c>
      <c r="F46" s="361" t="str">
        <f t="shared" si="2"/>
        <v>Uredski materijal i ostali materijalni rashodi</v>
      </c>
      <c r="G46" s="362" t="s">
        <v>177</v>
      </c>
      <c r="H46" s="361" t="str">
        <f t="shared" si="3"/>
        <v>REDOVNA DJELATNOST SVEUČILIŠTA U OSIJEKU (IZ EVIDENCIJSKIH PRIHODA)</v>
      </c>
      <c r="I46" s="361" t="str">
        <f t="shared" si="4"/>
        <v>0942</v>
      </c>
      <c r="J46" s="363">
        <v>10618</v>
      </c>
      <c r="K46" s="363"/>
      <c r="L46" s="363">
        <v>10618</v>
      </c>
      <c r="M46" s="84"/>
      <c r="O46" s="75" t="str">
        <f t="shared" si="5"/>
        <v>322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3431</v>
      </c>
      <c r="W46" s="75" t="s">
        <v>82</v>
      </c>
      <c r="Y46" s="290" t="str">
        <f t="shared" si="11"/>
        <v>34</v>
      </c>
      <c r="Z46" s="75" t="str">
        <f t="shared" si="12"/>
        <v>343</v>
      </c>
      <c r="AB46" t="s">
        <v>1629</v>
      </c>
      <c r="AC46" t="s">
        <v>1630</v>
      </c>
      <c r="AD46" s="75" t="s">
        <v>5139</v>
      </c>
      <c r="AE46" s="75" t="s">
        <v>5140</v>
      </c>
      <c r="AF46" s="75" t="s">
        <v>5165</v>
      </c>
      <c r="AG46" s="75" t="s">
        <v>5172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1"/>
        <v>Ostali prihodi za posebne namjene</v>
      </c>
      <c r="E47" s="360">
        <v>3222</v>
      </c>
      <c r="F47" s="361" t="str">
        <f t="shared" si="2"/>
        <v>Materijal i sirovine</v>
      </c>
      <c r="G47" s="362" t="s">
        <v>177</v>
      </c>
      <c r="H47" s="361" t="str">
        <f t="shared" si="3"/>
        <v>REDOVNA DJELATNOST SVEUČILIŠTA U OSIJEKU (IZ EVIDENCIJSKIH PRIHODA)</v>
      </c>
      <c r="I47" s="361" t="str">
        <f t="shared" si="4"/>
        <v>0942</v>
      </c>
      <c r="J47" s="363">
        <v>10000</v>
      </c>
      <c r="K47" s="363">
        <v>-10000</v>
      </c>
      <c r="L47" s="363"/>
      <c r="M47" s="84"/>
      <c r="O47" s="75" t="str">
        <f t="shared" si="5"/>
        <v>322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3432</v>
      </c>
      <c r="W47" s="75" t="s">
        <v>98</v>
      </c>
      <c r="Y47" s="290" t="str">
        <f t="shared" si="11"/>
        <v>34</v>
      </c>
      <c r="Z47" s="75" t="str">
        <f t="shared" si="12"/>
        <v>343</v>
      </c>
      <c r="AB47" t="s">
        <v>1838</v>
      </c>
      <c r="AC47" t="s">
        <v>1839</v>
      </c>
      <c r="AD47" s="75" t="s">
        <v>5153</v>
      </c>
      <c r="AE47" s="75" t="s">
        <v>5154</v>
      </c>
      <c r="AF47" s="75" t="s">
        <v>5167</v>
      </c>
      <c r="AG47" s="75" t="s">
        <v>5180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1"/>
        <v>Ostali prihodi za posebne namjene</v>
      </c>
      <c r="E48" s="360">
        <v>3223</v>
      </c>
      <c r="F48" s="361" t="str">
        <f t="shared" si="2"/>
        <v>Energija</v>
      </c>
      <c r="G48" s="362" t="s">
        <v>177</v>
      </c>
      <c r="H48" s="361" t="str">
        <f t="shared" si="3"/>
        <v>REDOVNA DJELATNOST SVEUČILIŠTA U OSIJEKU (IZ EVIDENCIJSKIH PRIHODA)</v>
      </c>
      <c r="I48" s="361" t="str">
        <f t="shared" si="4"/>
        <v>0942</v>
      </c>
      <c r="J48" s="363">
        <v>39817</v>
      </c>
      <c r="K48" s="363">
        <v>-5000</v>
      </c>
      <c r="L48" s="363">
        <v>34817</v>
      </c>
      <c r="M48" s="84"/>
      <c r="O48" s="75" t="str">
        <f t="shared" si="5"/>
        <v>322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3433</v>
      </c>
      <c r="W48" s="75" t="s">
        <v>136</v>
      </c>
      <c r="Y48" s="290" t="str">
        <f t="shared" si="11"/>
        <v>34</v>
      </c>
      <c r="Z48" s="75" t="str">
        <f t="shared" si="12"/>
        <v>343</v>
      </c>
      <c r="AB48" t="s">
        <v>1838</v>
      </c>
      <c r="AC48" t="s">
        <v>1839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1"/>
        <v>Ostali prihodi za posebne namjene</v>
      </c>
      <c r="E49" s="360">
        <v>3224</v>
      </c>
      <c r="F49" s="361" t="str">
        <f t="shared" si="2"/>
        <v>Materijal i dijelovi za tekuće i investicijsko održavanje</v>
      </c>
      <c r="G49" s="362" t="s">
        <v>177</v>
      </c>
      <c r="H49" s="361" t="str">
        <f t="shared" si="3"/>
        <v>REDOVNA DJELATNOST SVEUČILIŠTA U OSIJEKU (IZ EVIDENCIJSKIH PRIHODA)</v>
      </c>
      <c r="I49" s="361" t="str">
        <f t="shared" si="4"/>
        <v>0942</v>
      </c>
      <c r="J49" s="363">
        <v>13927</v>
      </c>
      <c r="K49" s="363"/>
      <c r="L49" s="363">
        <v>13927</v>
      </c>
      <c r="M49" s="84"/>
      <c r="O49" s="75" t="str">
        <f t="shared" si="5"/>
        <v>322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3434</v>
      </c>
      <c r="W49" s="75" t="s">
        <v>67</v>
      </c>
      <c r="Y49" s="290" t="str">
        <f t="shared" si="11"/>
        <v>34</v>
      </c>
      <c r="Z49" s="75" t="str">
        <f t="shared" si="12"/>
        <v>343</v>
      </c>
      <c r="AB49" t="s">
        <v>1840</v>
      </c>
      <c r="AC49" t="s">
        <v>1841</v>
      </c>
      <c r="AD49" s="75" t="s">
        <v>5155</v>
      </c>
      <c r="AE49" s="75" t="s">
        <v>5156</v>
      </c>
      <c r="AF49" s="75" t="s">
        <v>5165</v>
      </c>
      <c r="AG49" s="75" t="s">
        <v>5176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"/>
        <v>Ostali prihodi za posebne namjene</v>
      </c>
      <c r="E50" s="360">
        <v>3225</v>
      </c>
      <c r="F50" s="361" t="str">
        <f t="shared" si="2"/>
        <v>Sitni inventar i auto gume</v>
      </c>
      <c r="G50" s="362" t="s">
        <v>177</v>
      </c>
      <c r="H50" s="361" t="str">
        <f t="shared" si="3"/>
        <v>REDOVNA DJELATNOST SVEUČILIŠTA U OSIJEKU (IZ EVIDENCIJSKIH PRIHODA)</v>
      </c>
      <c r="I50" s="361" t="str">
        <f t="shared" si="4"/>
        <v>0942</v>
      </c>
      <c r="J50" s="363">
        <v>5812</v>
      </c>
      <c r="K50" s="363"/>
      <c r="L50" s="363">
        <v>5812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43</v>
      </c>
      <c r="R50" s="75" t="str">
        <f t="shared" si="8"/>
        <v>94</v>
      </c>
      <c r="V50" s="75">
        <v>3511</v>
      </c>
      <c r="W50" s="75" t="s">
        <v>179</v>
      </c>
      <c r="Y50" s="290" t="str">
        <f t="shared" si="11"/>
        <v>35</v>
      </c>
      <c r="Z50" s="75" t="str">
        <f t="shared" si="12"/>
        <v>351</v>
      </c>
      <c r="AB50" t="s">
        <v>1842</v>
      </c>
      <c r="AC50" t="s">
        <v>1843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"/>
        <v>Ostali prihodi za posebne namjene</v>
      </c>
      <c r="E51" s="360">
        <v>3227</v>
      </c>
      <c r="F51" s="361" t="str">
        <f t="shared" si="2"/>
        <v>Službena, radna i zaštitna odjeća i obuća</v>
      </c>
      <c r="G51" s="362" t="s">
        <v>177</v>
      </c>
      <c r="H51" s="361" t="str">
        <f t="shared" si="3"/>
        <v>REDOVNA DJELATNOST SVEUČILIŠTA U OSIJEKU (IZ EVIDENCIJSKIH PRIHODA)</v>
      </c>
      <c r="I51" s="361" t="str">
        <f t="shared" si="4"/>
        <v>0942</v>
      </c>
      <c r="J51" s="363">
        <v>900</v>
      </c>
      <c r="K51" s="363">
        <v>1000</v>
      </c>
      <c r="L51" s="363">
        <v>1900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43</v>
      </c>
      <c r="R51" s="75" t="str">
        <f t="shared" si="8"/>
        <v>94</v>
      </c>
      <c r="V51" s="75">
        <v>3512</v>
      </c>
      <c r="W51" s="75" t="s">
        <v>181</v>
      </c>
      <c r="Y51" s="290" t="str">
        <f t="shared" si="11"/>
        <v>35</v>
      </c>
      <c r="Z51" s="75" t="str">
        <f t="shared" si="12"/>
        <v>351</v>
      </c>
      <c r="AB51" t="s">
        <v>1844</v>
      </c>
      <c r="AC51" t="s">
        <v>933</v>
      </c>
      <c r="AD51" s="75" t="s">
        <v>5153</v>
      </c>
      <c r="AE51" s="75" t="s">
        <v>5154</v>
      </c>
      <c r="AF51" s="75" t="s">
        <v>5167</v>
      </c>
      <c r="AG51" s="75" t="s">
        <v>5180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"/>
        <v>Ostali prihodi za posebne namjene</v>
      </c>
      <c r="E52" s="360">
        <v>3231</v>
      </c>
      <c r="F52" s="361" t="str">
        <f t="shared" si="2"/>
        <v>Usluge telefona, pošte i prijevoza</v>
      </c>
      <c r="G52" s="362" t="s">
        <v>177</v>
      </c>
      <c r="H52" s="361" t="str">
        <f t="shared" si="3"/>
        <v>REDOVNA DJELATNOST SVEUČILIŠTA U OSIJEKU (IZ EVIDENCIJSKIH PRIHODA)</v>
      </c>
      <c r="I52" s="361" t="str">
        <f t="shared" si="4"/>
        <v>0942</v>
      </c>
      <c r="J52" s="363">
        <v>13174</v>
      </c>
      <c r="K52" s="363">
        <v>-5761</v>
      </c>
      <c r="L52" s="363">
        <v>7413</v>
      </c>
      <c r="M52" s="84"/>
      <c r="O52" s="75" t="str">
        <f t="shared" si="5"/>
        <v>323</v>
      </c>
      <c r="P52" s="75" t="str">
        <f t="shared" si="6"/>
        <v>32</v>
      </c>
      <c r="Q52" s="75" t="str">
        <f t="shared" si="7"/>
        <v>43</v>
      </c>
      <c r="R52" s="75" t="str">
        <f t="shared" si="8"/>
        <v>94</v>
      </c>
      <c r="V52" s="75">
        <v>3522</v>
      </c>
      <c r="W52" s="75" t="s">
        <v>234</v>
      </c>
      <c r="Y52" s="290" t="str">
        <f t="shared" si="11"/>
        <v>35</v>
      </c>
      <c r="Z52" s="75" t="str">
        <f t="shared" si="12"/>
        <v>352</v>
      </c>
      <c r="AB52" t="s">
        <v>1631</v>
      </c>
      <c r="AC52" t="s">
        <v>1116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"/>
        <v>Ostali prihodi za posebne namjene</v>
      </c>
      <c r="E53" s="360">
        <v>3232</v>
      </c>
      <c r="F53" s="361" t="str">
        <f t="shared" si="2"/>
        <v>Usluge tekućeg i investicijskog održavanja</v>
      </c>
      <c r="G53" s="362" t="s">
        <v>177</v>
      </c>
      <c r="H53" s="361" t="str">
        <f t="shared" si="3"/>
        <v>REDOVNA DJELATNOST SVEUČILIŠTA U OSIJEKU (IZ EVIDENCIJSKIH PRIHODA)</v>
      </c>
      <c r="I53" s="361" t="str">
        <f t="shared" si="4"/>
        <v>0942</v>
      </c>
      <c r="J53" s="363">
        <v>7963</v>
      </c>
      <c r="K53" s="363"/>
      <c r="L53" s="363">
        <v>7963</v>
      </c>
      <c r="M53" s="84"/>
      <c r="O53" s="75" t="str">
        <f t="shared" si="5"/>
        <v>323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3531</v>
      </c>
      <c r="W53" s="75" t="s">
        <v>133</v>
      </c>
      <c r="Y53" s="290" t="str">
        <f t="shared" si="11"/>
        <v>35</v>
      </c>
      <c r="Z53" s="75" t="str">
        <f t="shared" si="12"/>
        <v>353</v>
      </c>
      <c r="AB53" t="s">
        <v>1845</v>
      </c>
      <c r="AC53" t="s">
        <v>1846</v>
      </c>
      <c r="AD53" s="75" t="s">
        <v>5155</v>
      </c>
      <c r="AE53" s="75" t="s">
        <v>5156</v>
      </c>
      <c r="AF53" s="75" t="s">
        <v>5165</v>
      </c>
      <c r="AG53" s="75" t="s">
        <v>5176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"/>
        <v>Ostali prihodi za posebne namjene</v>
      </c>
      <c r="E54" s="360">
        <v>3234</v>
      </c>
      <c r="F54" s="361" t="str">
        <f t="shared" si="2"/>
        <v>Komunalne usluge</v>
      </c>
      <c r="G54" s="362" t="s">
        <v>177</v>
      </c>
      <c r="H54" s="361" t="str">
        <f t="shared" si="3"/>
        <v>REDOVNA DJELATNOST SVEUČILIŠTA U OSIJEKU (IZ EVIDENCIJSKIH PRIHODA)</v>
      </c>
      <c r="I54" s="361" t="str">
        <f t="shared" si="4"/>
        <v>0942</v>
      </c>
      <c r="J54" s="363">
        <v>8841</v>
      </c>
      <c r="K54" s="363"/>
      <c r="L54" s="363">
        <v>8841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43</v>
      </c>
      <c r="R54" s="75" t="str">
        <f t="shared" si="8"/>
        <v>94</v>
      </c>
      <c r="V54" s="75">
        <v>3611</v>
      </c>
      <c r="W54" s="75" t="s">
        <v>87</v>
      </c>
      <c r="Y54" s="290" t="str">
        <f t="shared" si="11"/>
        <v>36</v>
      </c>
      <c r="Z54" s="75" t="str">
        <f t="shared" si="12"/>
        <v>361</v>
      </c>
      <c r="AB54" t="s">
        <v>1632</v>
      </c>
      <c r="AC54" t="s">
        <v>1633</v>
      </c>
      <c r="AD54" s="75" t="s">
        <v>5155</v>
      </c>
      <c r="AE54" s="75" t="s">
        <v>5156</v>
      </c>
      <c r="AF54" s="75" t="s">
        <v>5165</v>
      </c>
      <c r="AG54" s="75" t="s">
        <v>5176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"/>
        <v>Ostali prihodi za posebne namjene</v>
      </c>
      <c r="E55" s="360">
        <v>3236</v>
      </c>
      <c r="F55" s="361" t="str">
        <f t="shared" si="2"/>
        <v>Zdravstvene i veterinarske usluge</v>
      </c>
      <c r="G55" s="362" t="s">
        <v>177</v>
      </c>
      <c r="H55" s="361" t="str">
        <f t="shared" si="3"/>
        <v>REDOVNA DJELATNOST SVEUČILIŠTA U OSIJEKU (IZ EVIDENCIJSKIH PRIHODA)</v>
      </c>
      <c r="I55" s="361" t="str">
        <f t="shared" si="4"/>
        <v>0942</v>
      </c>
      <c r="J55" s="363">
        <v>2457</v>
      </c>
      <c r="K55" s="363"/>
      <c r="L55" s="363">
        <v>2457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43</v>
      </c>
      <c r="R55" s="75" t="str">
        <f t="shared" si="8"/>
        <v>94</v>
      </c>
      <c r="V55" s="75">
        <v>3621</v>
      </c>
      <c r="W55" s="75" t="s">
        <v>137</v>
      </c>
      <c r="Y55" s="290" t="str">
        <f t="shared" si="11"/>
        <v>36</v>
      </c>
      <c r="Z55" s="75" t="str">
        <f t="shared" si="12"/>
        <v>362</v>
      </c>
      <c r="AB55" t="s">
        <v>1847</v>
      </c>
      <c r="AC55" t="s">
        <v>1848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360">
        <v>3237</v>
      </c>
      <c r="F56" s="361" t="str">
        <f t="shared" si="2"/>
        <v>Intelektualne i osobne usluge</v>
      </c>
      <c r="G56" s="362" t="s">
        <v>177</v>
      </c>
      <c r="H56" s="361" t="str">
        <f t="shared" si="3"/>
        <v>REDOVNA DJELATNOST SVEUČILIŠTA U OSIJEKU (IZ EVIDENCIJSKIH PRIHODA)</v>
      </c>
      <c r="I56" s="361" t="str">
        <f t="shared" si="4"/>
        <v>0942</v>
      </c>
      <c r="J56" s="363">
        <v>28961</v>
      </c>
      <c r="K56" s="363">
        <v>-28961</v>
      </c>
      <c r="L56" s="363"/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3631</v>
      </c>
      <c r="W56" s="75" t="s">
        <v>178</v>
      </c>
      <c r="Y56" s="290" t="str">
        <f t="shared" si="11"/>
        <v>36</v>
      </c>
      <c r="Z56" s="75" t="str">
        <f t="shared" si="12"/>
        <v>363</v>
      </c>
      <c r="AB56" t="s">
        <v>1849</v>
      </c>
      <c r="AC56" t="s">
        <v>1850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360">
        <v>3238</v>
      </c>
      <c r="F57" s="361" t="str">
        <f t="shared" si="2"/>
        <v>Računalne usluge</v>
      </c>
      <c r="G57" s="362" t="s">
        <v>177</v>
      </c>
      <c r="H57" s="361" t="str">
        <f t="shared" si="3"/>
        <v>REDOVNA DJELATNOST SVEUČILIŠTA U OSIJEKU (IZ EVIDENCIJSKIH PRIHODA)</v>
      </c>
      <c r="I57" s="361" t="str">
        <f t="shared" si="4"/>
        <v>0942</v>
      </c>
      <c r="J57" s="363">
        <v>1850</v>
      </c>
      <c r="K57" s="363">
        <v>-250</v>
      </c>
      <c r="L57" s="363">
        <v>1600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3632</v>
      </c>
      <c r="W57" s="75" t="s">
        <v>235</v>
      </c>
      <c r="Y57" s="290" t="str">
        <f t="shared" si="11"/>
        <v>36</v>
      </c>
      <c r="Z57" s="75" t="str">
        <f t="shared" si="12"/>
        <v>363</v>
      </c>
      <c r="AB57" t="s">
        <v>1851</v>
      </c>
      <c r="AC57" t="s">
        <v>1852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360">
        <v>3239</v>
      </c>
      <c r="F58" s="361" t="str">
        <f t="shared" si="2"/>
        <v>Ostale usluge</v>
      </c>
      <c r="G58" s="362" t="s">
        <v>177</v>
      </c>
      <c r="H58" s="361" t="str">
        <f t="shared" si="3"/>
        <v>REDOVNA DJELATNOST SVEUČILIŠTA U OSIJEKU (IZ EVIDENCIJSKIH PRIHODA)</v>
      </c>
      <c r="I58" s="361" t="str">
        <f t="shared" si="4"/>
        <v>0942</v>
      </c>
      <c r="J58" s="363">
        <v>18580</v>
      </c>
      <c r="K58" s="363">
        <v>-10000</v>
      </c>
      <c r="L58" s="363">
        <v>8580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3661</v>
      </c>
      <c r="W58" s="75" t="s">
        <v>99</v>
      </c>
      <c r="Y58" s="290" t="str">
        <f t="shared" si="11"/>
        <v>36</v>
      </c>
      <c r="Z58" s="75" t="str">
        <f t="shared" si="12"/>
        <v>366</v>
      </c>
      <c r="AB58" t="s">
        <v>1853</v>
      </c>
      <c r="AC58" t="s">
        <v>1854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360">
        <v>3241</v>
      </c>
      <c r="F59" s="361" t="str">
        <f t="shared" si="2"/>
        <v>Naknade troškova osobama izvan radnog odnosa</v>
      </c>
      <c r="G59" s="362" t="s">
        <v>177</v>
      </c>
      <c r="H59" s="361" t="str">
        <f t="shared" si="3"/>
        <v>REDOVNA DJELATNOST SVEUČILIŠTA U OSIJEKU (IZ EVIDENCIJSKIH PRIHODA)</v>
      </c>
      <c r="I59" s="361" t="str">
        <f t="shared" si="4"/>
        <v>0942</v>
      </c>
      <c r="J59" s="363">
        <v>40291</v>
      </c>
      <c r="K59" s="363">
        <v>-20000</v>
      </c>
      <c r="L59" s="363">
        <v>20291</v>
      </c>
      <c r="M59" s="84"/>
      <c r="O59" s="75" t="str">
        <f t="shared" si="5"/>
        <v>324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3662</v>
      </c>
      <c r="W59" s="75" t="s">
        <v>182</v>
      </c>
      <c r="Y59" s="290" t="str">
        <f t="shared" si="11"/>
        <v>36</v>
      </c>
      <c r="Z59" s="75" t="str">
        <f t="shared" si="12"/>
        <v>366</v>
      </c>
      <c r="AB59" t="s">
        <v>1855</v>
      </c>
      <c r="AC59" t="s">
        <v>1856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360">
        <v>3293</v>
      </c>
      <c r="F60" s="361" t="str">
        <f t="shared" si="2"/>
        <v>Reprezentacija</v>
      </c>
      <c r="G60" s="362" t="s">
        <v>177</v>
      </c>
      <c r="H60" s="361" t="str">
        <f t="shared" si="3"/>
        <v>REDOVNA DJELATNOST SVEUČILIŠTA U OSIJEKU (IZ EVIDENCIJSKIH PRIHODA)</v>
      </c>
      <c r="I60" s="361" t="str">
        <f t="shared" si="4"/>
        <v>0942</v>
      </c>
      <c r="J60" s="363">
        <v>17609</v>
      </c>
      <c r="K60" s="363">
        <v>-5000</v>
      </c>
      <c r="L60" s="363">
        <v>12609</v>
      </c>
      <c r="M60" s="84"/>
      <c r="O60" s="75" t="str">
        <f t="shared" si="5"/>
        <v>329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3681</v>
      </c>
      <c r="W60" s="75" t="s">
        <v>26</v>
      </c>
      <c r="Y60" s="290" t="str">
        <f t="shared" si="11"/>
        <v>36</v>
      </c>
      <c r="Z60" s="75" t="str">
        <f t="shared" si="12"/>
        <v>368</v>
      </c>
      <c r="AB60" t="s">
        <v>1857</v>
      </c>
      <c r="AC60" t="s">
        <v>1858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360">
        <v>3233</v>
      </c>
      <c r="F61" s="361" t="str">
        <f t="shared" si="2"/>
        <v>Usluge promidžbe i informiranja</v>
      </c>
      <c r="G61" s="362" t="s">
        <v>177</v>
      </c>
      <c r="H61" s="361" t="str">
        <f t="shared" si="3"/>
        <v>REDOVNA DJELATNOST SVEUČILIŠTA U OSIJEKU (IZ EVIDENCIJSKIH PRIHODA)</v>
      </c>
      <c r="I61" s="361" t="str">
        <f t="shared" si="4"/>
        <v>0942</v>
      </c>
      <c r="J61" s="363">
        <v>15927</v>
      </c>
      <c r="K61" s="363">
        <v>-13327</v>
      </c>
      <c r="L61" s="363">
        <v>2600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3682</v>
      </c>
      <c r="W61" s="75" t="s">
        <v>27</v>
      </c>
      <c r="Y61" s="290" t="str">
        <f t="shared" si="11"/>
        <v>36</v>
      </c>
      <c r="Z61" s="75" t="str">
        <f t="shared" si="12"/>
        <v>368</v>
      </c>
      <c r="AB61" t="s">
        <v>1859</v>
      </c>
      <c r="AC61" t="s">
        <v>1860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360">
        <v>4511</v>
      </c>
      <c r="F62" s="361" t="str">
        <f t="shared" si="2"/>
        <v>Dodatna ulaganja na građevinskim objektima</v>
      </c>
      <c r="G62" s="362" t="s">
        <v>177</v>
      </c>
      <c r="H62" s="361" t="str">
        <f t="shared" si="3"/>
        <v>REDOVNA DJELATNOST SVEUČILIŠTA U OSIJEKU (IZ EVIDENCIJSKIH PRIHODA)</v>
      </c>
      <c r="I62" s="361" t="str">
        <f t="shared" si="4"/>
        <v>0942</v>
      </c>
      <c r="J62" s="363">
        <v>30000</v>
      </c>
      <c r="K62" s="363">
        <v>50000</v>
      </c>
      <c r="L62" s="363">
        <v>80000</v>
      </c>
      <c r="M62" s="84"/>
      <c r="O62" s="75" t="str">
        <f t="shared" si="5"/>
        <v>451</v>
      </c>
      <c r="P62" s="75" t="str">
        <f t="shared" si="6"/>
        <v>45</v>
      </c>
      <c r="Q62" s="75" t="str">
        <f t="shared" si="7"/>
        <v>43</v>
      </c>
      <c r="R62" s="75" t="str">
        <f t="shared" si="8"/>
        <v>94</v>
      </c>
      <c r="V62" s="75">
        <v>3691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1861</v>
      </c>
      <c r="AC62" t="s">
        <v>1862</v>
      </c>
      <c r="AD62" s="75" t="s">
        <v>5157</v>
      </c>
      <c r="AE62" s="75" t="s">
        <v>5158</v>
      </c>
      <c r="AF62" s="75" t="s">
        <v>5165</v>
      </c>
      <c r="AG62" s="75" t="s">
        <v>5178</v>
      </c>
    </row>
    <row r="63" spans="1:33">
      <c r="A63" s="79"/>
      <c r="B63" s="79" t="s">
        <v>5278</v>
      </c>
      <c r="C63" s="85">
        <v>43</v>
      </c>
      <c r="D63" s="80" t="str">
        <f t="shared" si="1"/>
        <v>Ostali prihodi za posebne namjene</v>
      </c>
      <c r="E63" s="360">
        <v>3294</v>
      </c>
      <c r="F63" s="361" t="str">
        <f t="shared" si="2"/>
        <v>Članarine i norme</v>
      </c>
      <c r="G63" s="362" t="s">
        <v>177</v>
      </c>
      <c r="H63" s="361" t="str">
        <f t="shared" si="3"/>
        <v>REDOVNA DJELATNOST SVEUČILIŠTA U OSIJEKU (IZ EVIDENCIJSKIH PRIHODA)</v>
      </c>
      <c r="I63" s="361" t="str">
        <f t="shared" si="4"/>
        <v>0942</v>
      </c>
      <c r="J63" s="363"/>
      <c r="K63" s="363">
        <v>1000</v>
      </c>
      <c r="L63" s="363">
        <v>1000</v>
      </c>
      <c r="M63" s="84"/>
      <c r="O63" s="75" t="str">
        <f t="shared" si="5"/>
        <v>329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AB63"/>
      <c r="AC63"/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360">
        <v>3299</v>
      </c>
      <c r="F64" s="361" t="str">
        <f t="shared" si="2"/>
        <v>Ostali nespomenuti rashodi poslovanja</v>
      </c>
      <c r="G64" s="362" t="s">
        <v>177</v>
      </c>
      <c r="H64" s="361" t="str">
        <f t="shared" si="3"/>
        <v>REDOVNA DJELATNOST SVEUČILIŠTA U OSIJEKU (IZ EVIDENCIJSKIH PRIHODA)</v>
      </c>
      <c r="I64" s="361" t="str">
        <f t="shared" si="4"/>
        <v>0942</v>
      </c>
      <c r="J64" s="363">
        <v>4340</v>
      </c>
      <c r="K64" s="363"/>
      <c r="L64" s="363">
        <v>4340</v>
      </c>
      <c r="M64" s="84"/>
      <c r="O64" s="75" t="str">
        <f t="shared" si="5"/>
        <v>329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3692</v>
      </c>
      <c r="W64" s="75" t="s">
        <v>176</v>
      </c>
      <c r="Y64" s="290" t="str">
        <f t="shared" si="11"/>
        <v>36</v>
      </c>
      <c r="Z64" s="75" t="str">
        <f t="shared" si="12"/>
        <v>369</v>
      </c>
      <c r="AB64" t="s">
        <v>1863</v>
      </c>
      <c r="AC64" t="s">
        <v>1864</v>
      </c>
      <c r="AD64" s="75" t="s">
        <v>5157</v>
      </c>
      <c r="AE64" s="75" t="s">
        <v>5158</v>
      </c>
      <c r="AF64" s="75" t="s">
        <v>5165</v>
      </c>
      <c r="AG64" s="75" t="s">
        <v>5178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360">
        <v>3431</v>
      </c>
      <c r="F65" s="361" t="str">
        <f t="shared" si="2"/>
        <v>Bankarske usluge i usluge platnog prometa</v>
      </c>
      <c r="G65" s="362" t="s">
        <v>177</v>
      </c>
      <c r="H65" s="361" t="str">
        <f t="shared" si="3"/>
        <v>REDOVNA DJELATNOST SVEUČILIŠTA U OSIJEKU (IZ EVIDENCIJSKIH PRIHODA)</v>
      </c>
      <c r="I65" s="361" t="str">
        <f t="shared" si="4"/>
        <v>0942</v>
      </c>
      <c r="J65" s="363">
        <v>2068</v>
      </c>
      <c r="K65" s="363"/>
      <c r="L65" s="363">
        <v>2068</v>
      </c>
      <c r="M65" s="84"/>
      <c r="O65" s="75" t="str">
        <f t="shared" si="5"/>
        <v>343</v>
      </c>
      <c r="P65" s="75" t="str">
        <f t="shared" si="6"/>
        <v>34</v>
      </c>
      <c r="Q65" s="75" t="str">
        <f t="shared" si="7"/>
        <v>43</v>
      </c>
      <c r="R65" s="75" t="str">
        <f t="shared" si="8"/>
        <v>94</v>
      </c>
      <c r="V65" s="75">
        <v>3693</v>
      </c>
      <c r="W65" s="75" t="s">
        <v>104</v>
      </c>
      <c r="Y65" s="290" t="str">
        <f t="shared" si="11"/>
        <v>36</v>
      </c>
      <c r="Z65" s="75" t="str">
        <f t="shared" si="12"/>
        <v>369</v>
      </c>
      <c r="AB65" t="s">
        <v>1865</v>
      </c>
      <c r="AC65" t="s">
        <v>1866</v>
      </c>
      <c r="AD65" s="75" t="s">
        <v>5147</v>
      </c>
      <c r="AE65" s="75" t="s">
        <v>5148</v>
      </c>
      <c r="AF65" s="75" t="s">
        <v>5165</v>
      </c>
      <c r="AG65" s="75" t="s">
        <v>5173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360">
        <v>4221</v>
      </c>
      <c r="F66" s="361" t="str">
        <f t="shared" si="2"/>
        <v>Uredska oprema i namještaj</v>
      </c>
      <c r="G66" s="362" t="s">
        <v>177</v>
      </c>
      <c r="H66" s="361" t="str">
        <f t="shared" si="3"/>
        <v>REDOVNA DJELATNOST SVEUČILIŠTA U OSIJEKU (IZ EVIDENCIJSKIH PRIHODA)</v>
      </c>
      <c r="I66" s="361" t="str">
        <f t="shared" si="4"/>
        <v>0942</v>
      </c>
      <c r="J66" s="363">
        <v>5000</v>
      </c>
      <c r="K66" s="363">
        <v>-2963</v>
      </c>
      <c r="L66" s="363">
        <v>2037</v>
      </c>
      <c r="M66" s="84"/>
      <c r="O66" s="75" t="str">
        <f t="shared" si="5"/>
        <v>422</v>
      </c>
      <c r="P66" s="75" t="str">
        <f t="shared" si="6"/>
        <v>42</v>
      </c>
      <c r="Q66" s="75" t="str">
        <f t="shared" si="7"/>
        <v>43</v>
      </c>
      <c r="R66" s="75" t="str">
        <f t="shared" si="8"/>
        <v>94</v>
      </c>
      <c r="V66" s="75">
        <v>3694</v>
      </c>
      <c r="W66" s="75" t="s">
        <v>176</v>
      </c>
      <c r="Y66" s="290" t="str">
        <f t="shared" si="11"/>
        <v>36</v>
      </c>
      <c r="Z66" s="75" t="str">
        <f t="shared" si="12"/>
        <v>369</v>
      </c>
      <c r="AB66" t="s">
        <v>1867</v>
      </c>
      <c r="AC66" t="s">
        <v>1868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1"/>
        <v>Ostali prihodi za posebne namjene</v>
      </c>
      <c r="E67" s="360">
        <v>4222</v>
      </c>
      <c r="F67" s="361" t="str">
        <f t="shared" si="2"/>
        <v>Komunikacijska oprema</v>
      </c>
      <c r="G67" s="362" t="s">
        <v>177</v>
      </c>
      <c r="H67" s="361" t="str">
        <f t="shared" si="3"/>
        <v>REDOVNA DJELATNOST SVEUČILIŠTA U OSIJEKU (IZ EVIDENCIJSKIH PRIHODA)</v>
      </c>
      <c r="I67" s="361" t="str">
        <f t="shared" si="4"/>
        <v>0942</v>
      </c>
      <c r="J67" s="363">
        <v>1000</v>
      </c>
      <c r="K67" s="363"/>
      <c r="L67" s="363">
        <v>1000</v>
      </c>
      <c r="M67" s="84"/>
      <c r="O67" s="75" t="str">
        <f t="shared" si="5"/>
        <v>422</v>
      </c>
      <c r="P67" s="75" t="str">
        <f t="shared" si="6"/>
        <v>42</v>
      </c>
      <c r="Q67" s="75" t="str">
        <f t="shared" si="7"/>
        <v>43</v>
      </c>
      <c r="R67" s="75" t="str">
        <f t="shared" si="8"/>
        <v>94</v>
      </c>
      <c r="V67" s="75">
        <v>3711</v>
      </c>
      <c r="W67" s="75" t="s">
        <v>123</v>
      </c>
      <c r="Y67" s="290" t="str">
        <f t="shared" si="11"/>
        <v>37</v>
      </c>
      <c r="Z67" s="75" t="str">
        <f t="shared" si="12"/>
        <v>371</v>
      </c>
      <c r="AB67" t="s">
        <v>1869</v>
      </c>
      <c r="AC67" t="s">
        <v>1870</v>
      </c>
      <c r="AD67" s="75" t="s">
        <v>5147</v>
      </c>
      <c r="AE67" s="75" t="s">
        <v>5148</v>
      </c>
      <c r="AF67" s="75" t="s">
        <v>5165</v>
      </c>
      <c r="AG67" s="75" t="s">
        <v>5173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1"/>
        <v>Ostali prihodi za posebne namjene</v>
      </c>
      <c r="E68" s="360">
        <v>4226</v>
      </c>
      <c r="F68" s="361" t="str">
        <f t="shared" si="2"/>
        <v>Sportska i glazbena oprema</v>
      </c>
      <c r="G68" s="362" t="s">
        <v>177</v>
      </c>
      <c r="H68" s="361" t="str">
        <f t="shared" si="3"/>
        <v>REDOVNA DJELATNOST SVEUČILIŠTA U OSIJEKU (IZ EVIDENCIJSKIH PRIHODA)</v>
      </c>
      <c r="I68" s="361" t="str">
        <f t="shared" si="4"/>
        <v>0942</v>
      </c>
      <c r="J68" s="363">
        <v>2000</v>
      </c>
      <c r="K68" s="363"/>
      <c r="L68" s="363">
        <v>2000</v>
      </c>
      <c r="M68" s="84"/>
      <c r="O68" s="75" t="str">
        <f t="shared" si="5"/>
        <v>422</v>
      </c>
      <c r="P68" s="75" t="str">
        <f t="shared" si="6"/>
        <v>42</v>
      </c>
      <c r="Q68" s="75" t="str">
        <f t="shared" si="7"/>
        <v>43</v>
      </c>
      <c r="R68" s="75" t="str">
        <f t="shared" si="8"/>
        <v>94</v>
      </c>
      <c r="V68" s="75">
        <v>3712</v>
      </c>
      <c r="W68" s="75" t="s">
        <v>141</v>
      </c>
      <c r="Y68" s="290" t="str">
        <f t="shared" si="11"/>
        <v>37</v>
      </c>
      <c r="Z68" s="75" t="str">
        <f t="shared" si="12"/>
        <v>371</v>
      </c>
      <c r="AB68" t="s">
        <v>1871</v>
      </c>
      <c r="AC68" t="s">
        <v>1872</v>
      </c>
      <c r="AD68" s="75" t="s">
        <v>5157</v>
      </c>
      <c r="AE68" s="75" t="s">
        <v>5158</v>
      </c>
      <c r="AF68" s="75" t="s">
        <v>5165</v>
      </c>
      <c r="AG68" s="75" t="s">
        <v>5178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1"/>
        <v>Ostali prihodi za posebne namjene</v>
      </c>
      <c r="E69" s="360">
        <v>4227</v>
      </c>
      <c r="F69" s="361" t="str">
        <f t="shared" si="2"/>
        <v>Uređaji, strojevi i oprema za ostale namjene</v>
      </c>
      <c r="G69" s="362" t="s">
        <v>177</v>
      </c>
      <c r="H69" s="361" t="str">
        <f t="shared" si="3"/>
        <v>REDOVNA DJELATNOST SVEUČILIŠTA U OSIJEKU (IZ EVIDENCIJSKIH PRIHODA)</v>
      </c>
      <c r="I69" s="361" t="str">
        <f t="shared" si="4"/>
        <v>0942</v>
      </c>
      <c r="J69" s="363">
        <v>10000</v>
      </c>
      <c r="K69" s="363">
        <v>-6672</v>
      </c>
      <c r="L69" s="363">
        <v>3328</v>
      </c>
      <c r="M69" s="84"/>
      <c r="O69" s="75" t="str">
        <f t="shared" si="5"/>
        <v>422</v>
      </c>
      <c r="P69" s="75" t="str">
        <f t="shared" si="6"/>
        <v>42</v>
      </c>
      <c r="Q69" s="75" t="str">
        <f t="shared" si="7"/>
        <v>43</v>
      </c>
      <c r="R69" s="75" t="str">
        <f t="shared" si="8"/>
        <v>94</v>
      </c>
      <c r="V69" s="75">
        <v>3713</v>
      </c>
      <c r="W69" s="75" t="s">
        <v>168</v>
      </c>
      <c r="Y69" s="290" t="str">
        <f t="shared" si="11"/>
        <v>37</v>
      </c>
      <c r="Z69" s="75" t="str">
        <f t="shared" si="12"/>
        <v>371</v>
      </c>
      <c r="AB69" t="s">
        <v>1874</v>
      </c>
      <c r="AC69" t="s">
        <v>1875</v>
      </c>
      <c r="AD69" s="75" t="s">
        <v>5147</v>
      </c>
      <c r="AE69" s="75" t="s">
        <v>5148</v>
      </c>
      <c r="AF69" s="75" t="s">
        <v>5165</v>
      </c>
      <c r="AG69" s="75" t="s">
        <v>5173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ref="D70:D133" si="13">IFERROR(VLOOKUP(C70,$S$6:$T$26,2,FALSE),"")</f>
        <v>Ostali prihodi za posebne namjene</v>
      </c>
      <c r="E70" s="85">
        <v>4241</v>
      </c>
      <c r="F70" s="80" t="str">
        <f t="shared" si="2"/>
        <v>Knjige</v>
      </c>
      <c r="G70" s="118" t="s">
        <v>177</v>
      </c>
      <c r="H70" s="80" t="str">
        <f t="shared" si="3"/>
        <v>REDOVNA DJELATNOST SVEUČILIŠTA U OSIJEKU (IZ EVIDENCIJSKIH PRIHODA)</v>
      </c>
      <c r="I70" s="80" t="str">
        <f t="shared" si="4"/>
        <v>0942</v>
      </c>
      <c r="J70" s="363">
        <v>1500</v>
      </c>
      <c r="K70" s="363"/>
      <c r="L70" s="363">
        <v>1500</v>
      </c>
      <c r="M70" s="84"/>
      <c r="O70" s="75" t="str">
        <f t="shared" si="5"/>
        <v>424</v>
      </c>
      <c r="P70" s="75" t="str">
        <f t="shared" si="6"/>
        <v>42</v>
      </c>
      <c r="Q70" s="75" t="str">
        <f t="shared" si="7"/>
        <v>43</v>
      </c>
      <c r="R70" s="75" t="str">
        <f t="shared" si="8"/>
        <v>94</v>
      </c>
      <c r="V70" s="75">
        <v>3714</v>
      </c>
      <c r="W70" s="75" t="s">
        <v>189</v>
      </c>
      <c r="Y70" s="290" t="str">
        <f t="shared" si="11"/>
        <v>37</v>
      </c>
      <c r="Z70" s="75" t="str">
        <f t="shared" si="12"/>
        <v>371</v>
      </c>
      <c r="AB70" t="s">
        <v>1876</v>
      </c>
      <c r="AC70" t="s">
        <v>1877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 t="shared" si="13"/>
        <v>Vlastiti prihodi</v>
      </c>
      <c r="E71" s="360">
        <v>3221</v>
      </c>
      <c r="F71" s="361" t="str">
        <f t="shared" ref="F71:F134" si="14">IFERROR(VLOOKUP(E71,$V$5:$X$132,2,FALSE),"")</f>
        <v>Uredski materijal i ostali materijalni rashodi</v>
      </c>
      <c r="G71" s="362" t="s">
        <v>177</v>
      </c>
      <c r="H71" s="361" t="str">
        <f t="shared" ref="H71:H134" si="15">IFERROR(VLOOKUP(G71,$AB$6:$AC$330,2,FALSE),"")</f>
        <v>REDOVNA DJELATNOST SVEUČILIŠTA U OSIJEKU (IZ EVIDENCIJSKIH PRIHODA)</v>
      </c>
      <c r="I71" s="361" t="str">
        <f t="shared" ref="I71:I134" si="16">IFERROR(VLOOKUP(G71,$AB$6:$AF$330,3,FALSE),"")</f>
        <v>0942</v>
      </c>
      <c r="J71" s="363">
        <v>800</v>
      </c>
      <c r="K71" s="363"/>
      <c r="L71" s="363">
        <v>800</v>
      </c>
      <c r="M71" s="84"/>
      <c r="O71" s="75" t="str">
        <f t="shared" ref="O71:O134" si="17">LEFT(E71,3)</f>
        <v>322</v>
      </c>
      <c r="P71" s="75" t="str">
        <f t="shared" ref="P71:P134" si="18">LEFT(E71,2)</f>
        <v>32</v>
      </c>
      <c r="Q71" s="75" t="str">
        <f t="shared" ref="Q71:Q134" si="19">LEFT(C71,3)</f>
        <v>31</v>
      </c>
      <c r="R71" s="75" t="str">
        <f t="shared" ref="R71:R134" si="20">MID(I71,2,2)</f>
        <v>94</v>
      </c>
      <c r="V71" s="75">
        <v>3715</v>
      </c>
      <c r="W71" s="75" t="s">
        <v>127</v>
      </c>
      <c r="Y71" s="290" t="str">
        <f t="shared" si="11"/>
        <v>37</v>
      </c>
      <c r="Z71" s="75" t="str">
        <f t="shared" si="12"/>
        <v>371</v>
      </c>
      <c r="AB71" t="s">
        <v>1878</v>
      </c>
      <c r="AC71" t="s">
        <v>1879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si="13"/>
        <v>Vlastiti prihodi</v>
      </c>
      <c r="E72" s="360">
        <v>3222</v>
      </c>
      <c r="F72" s="361" t="str">
        <f t="shared" si="14"/>
        <v>Materijal i sirovine</v>
      </c>
      <c r="G72" s="362" t="s">
        <v>177</v>
      </c>
      <c r="H72" s="361" t="str">
        <f t="shared" si="15"/>
        <v>REDOVNA DJELATNOST SVEUČILIŠTA U OSIJEKU (IZ EVIDENCIJSKIH PRIHODA)</v>
      </c>
      <c r="I72" s="361" t="str">
        <f t="shared" si="16"/>
        <v>0942</v>
      </c>
      <c r="J72" s="363">
        <v>5200</v>
      </c>
      <c r="K72" s="363"/>
      <c r="L72" s="363">
        <v>5200</v>
      </c>
      <c r="M72" s="84"/>
      <c r="O72" s="75" t="str">
        <f t="shared" si="17"/>
        <v>322</v>
      </c>
      <c r="P72" s="75" t="str">
        <f t="shared" si="18"/>
        <v>32</v>
      </c>
      <c r="Q72" s="75" t="str">
        <f t="shared" si="19"/>
        <v>31</v>
      </c>
      <c r="R72" s="75" t="str">
        <f t="shared" si="20"/>
        <v>94</v>
      </c>
      <c r="V72" s="75">
        <v>3721</v>
      </c>
      <c r="W72" s="75" t="s">
        <v>65</v>
      </c>
      <c r="Y72" s="290" t="str">
        <f t="shared" si="11"/>
        <v>37</v>
      </c>
      <c r="Z72" s="75" t="str">
        <f t="shared" si="12"/>
        <v>372</v>
      </c>
      <c r="AB72" t="s">
        <v>1880</v>
      </c>
      <c r="AC72" t="s">
        <v>1881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si="13"/>
        <v>Vlastiti prihodi</v>
      </c>
      <c r="E73" s="360">
        <v>3224</v>
      </c>
      <c r="F73" s="361" t="str">
        <f t="shared" si="14"/>
        <v>Materijal i dijelovi za tekuće i investicijsko održavanje</v>
      </c>
      <c r="G73" s="362" t="s">
        <v>177</v>
      </c>
      <c r="H73" s="361" t="str">
        <f t="shared" si="15"/>
        <v>REDOVNA DJELATNOST SVEUČILIŠTA U OSIJEKU (IZ EVIDENCIJSKIH PRIHODA)</v>
      </c>
      <c r="I73" s="361" t="str">
        <f t="shared" si="16"/>
        <v>0942</v>
      </c>
      <c r="J73" s="363"/>
      <c r="K73" s="363"/>
      <c r="L73" s="363"/>
      <c r="M73" s="84"/>
      <c r="O73" s="75" t="str">
        <f t="shared" si="17"/>
        <v>322</v>
      </c>
      <c r="P73" s="75" t="str">
        <f t="shared" si="18"/>
        <v>32</v>
      </c>
      <c r="Q73" s="75" t="str">
        <f t="shared" si="19"/>
        <v>31</v>
      </c>
      <c r="R73" s="75" t="str">
        <f t="shared" si="20"/>
        <v>94</v>
      </c>
      <c r="V73" s="75">
        <v>3722</v>
      </c>
      <c r="W73" s="75" t="s">
        <v>150</v>
      </c>
      <c r="Y73" s="290" t="str">
        <f t="shared" si="11"/>
        <v>37</v>
      </c>
      <c r="Z73" s="75" t="str">
        <f t="shared" si="12"/>
        <v>372</v>
      </c>
      <c r="AB73" t="s">
        <v>1882</v>
      </c>
      <c r="AC73" t="s">
        <v>1883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3"/>
        <v>Vlastiti prihodi</v>
      </c>
      <c r="E74" s="360">
        <v>3225</v>
      </c>
      <c r="F74" s="361" t="str">
        <f t="shared" si="14"/>
        <v>Sitni inventar i auto gume</v>
      </c>
      <c r="G74" s="362" t="s">
        <v>177</v>
      </c>
      <c r="H74" s="361" t="str">
        <f t="shared" si="15"/>
        <v>REDOVNA DJELATNOST SVEUČILIŠTA U OSIJEKU (IZ EVIDENCIJSKIH PRIHODA)</v>
      </c>
      <c r="I74" s="361" t="str">
        <f t="shared" si="16"/>
        <v>0942</v>
      </c>
      <c r="J74" s="363"/>
      <c r="K74" s="363"/>
      <c r="L74" s="363"/>
      <c r="M74" s="84"/>
      <c r="O74" s="75" t="str">
        <f t="shared" si="17"/>
        <v>322</v>
      </c>
      <c r="P74" s="75" t="str">
        <f t="shared" si="18"/>
        <v>32</v>
      </c>
      <c r="Q74" s="75" t="str">
        <f t="shared" si="19"/>
        <v>31</v>
      </c>
      <c r="R74" s="75" t="str">
        <f t="shared" si="20"/>
        <v>94</v>
      </c>
      <c r="V74" s="75">
        <v>3723</v>
      </c>
      <c r="W74" s="75" t="s">
        <v>105</v>
      </c>
      <c r="Y74" s="290" t="str">
        <f t="shared" si="11"/>
        <v>37</v>
      </c>
      <c r="Z74" s="75" t="str">
        <f t="shared" si="12"/>
        <v>372</v>
      </c>
      <c r="AB74" t="s">
        <v>1884</v>
      </c>
      <c r="AC74" t="s">
        <v>1885</v>
      </c>
      <c r="AD74" s="75" t="s">
        <v>5141</v>
      </c>
      <c r="AE74" s="75" t="s">
        <v>5142</v>
      </c>
      <c r="AF74" s="75" t="s">
        <v>5167</v>
      </c>
      <c r="AG74" s="75" t="s">
        <v>5168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3"/>
        <v>Vlastiti prihodi</v>
      </c>
      <c r="E75" s="360">
        <v>3227</v>
      </c>
      <c r="F75" s="361" t="str">
        <f t="shared" si="14"/>
        <v>Službena, radna i zaštitna odjeća i obuća</v>
      </c>
      <c r="G75" s="362" t="s">
        <v>177</v>
      </c>
      <c r="H75" s="361" t="str">
        <f t="shared" si="15"/>
        <v>REDOVNA DJELATNOST SVEUČILIŠTA U OSIJEKU (IZ EVIDENCIJSKIH PRIHODA)</v>
      </c>
      <c r="I75" s="361" t="str">
        <f t="shared" si="16"/>
        <v>0942</v>
      </c>
      <c r="J75" s="363"/>
      <c r="K75" s="363"/>
      <c r="L75" s="363"/>
      <c r="M75" s="84"/>
      <c r="O75" s="75" t="str">
        <f t="shared" si="17"/>
        <v>322</v>
      </c>
      <c r="P75" s="75" t="str">
        <f t="shared" si="18"/>
        <v>32</v>
      </c>
      <c r="Q75" s="75" t="str">
        <f t="shared" si="19"/>
        <v>31</v>
      </c>
      <c r="R75" s="75" t="str">
        <f t="shared" si="20"/>
        <v>94</v>
      </c>
      <c r="V75" s="75">
        <v>3811</v>
      </c>
      <c r="W75" s="75" t="s">
        <v>55</v>
      </c>
      <c r="Y75" s="290" t="str">
        <f t="shared" si="11"/>
        <v>38</v>
      </c>
      <c r="Z75" s="75" t="str">
        <f t="shared" si="12"/>
        <v>381</v>
      </c>
      <c r="AB75" t="s">
        <v>1886</v>
      </c>
      <c r="AC75" t="s">
        <v>1887</v>
      </c>
      <c r="AD75" s="75" t="s">
        <v>5141</v>
      </c>
      <c r="AE75" s="75" t="s">
        <v>5142</v>
      </c>
      <c r="AF75" s="75" t="s">
        <v>5167</v>
      </c>
      <c r="AG75" s="75" t="s">
        <v>5168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3"/>
        <v>Vlastiti prihodi</v>
      </c>
      <c r="E76" s="360">
        <v>3233</v>
      </c>
      <c r="F76" s="361" t="str">
        <f t="shared" si="14"/>
        <v>Usluge promidžbe i informiranja</v>
      </c>
      <c r="G76" s="362" t="s">
        <v>177</v>
      </c>
      <c r="H76" s="361" t="str">
        <f t="shared" si="15"/>
        <v>REDOVNA DJELATNOST SVEUČILIŠTA U OSIJEKU (IZ EVIDENCIJSKIH PRIHODA)</v>
      </c>
      <c r="I76" s="361" t="str">
        <f t="shared" si="16"/>
        <v>0942</v>
      </c>
      <c r="J76" s="363"/>
      <c r="K76" s="363"/>
      <c r="L76" s="363"/>
      <c r="M76" s="84"/>
      <c r="O76" s="75" t="str">
        <f t="shared" si="17"/>
        <v>323</v>
      </c>
      <c r="P76" s="75" t="str">
        <f t="shared" si="18"/>
        <v>32</v>
      </c>
      <c r="Q76" s="75" t="str">
        <f t="shared" si="19"/>
        <v>31</v>
      </c>
      <c r="R76" s="75" t="str">
        <f t="shared" si="20"/>
        <v>94</v>
      </c>
      <c r="V76" s="75">
        <v>3812</v>
      </c>
      <c r="W76" s="75" t="s">
        <v>151</v>
      </c>
      <c r="Y76" s="290" t="str">
        <f t="shared" si="11"/>
        <v>38</v>
      </c>
      <c r="Z76" s="75" t="str">
        <f t="shared" si="12"/>
        <v>381</v>
      </c>
      <c r="AB76" t="s">
        <v>957</v>
      </c>
      <c r="AC76" t="s">
        <v>958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3"/>
        <v>Vlastiti prihodi</v>
      </c>
      <c r="E77" s="360">
        <v>3431</v>
      </c>
      <c r="F77" s="361" t="str">
        <f t="shared" si="14"/>
        <v>Bankarske usluge i usluge platnog prometa</v>
      </c>
      <c r="G77" s="362" t="s">
        <v>177</v>
      </c>
      <c r="H77" s="361" t="str">
        <f t="shared" si="15"/>
        <v>REDOVNA DJELATNOST SVEUČILIŠTA U OSIJEKU (IZ EVIDENCIJSKIH PRIHODA)</v>
      </c>
      <c r="I77" s="361" t="str">
        <f t="shared" si="16"/>
        <v>0942</v>
      </c>
      <c r="J77" s="363"/>
      <c r="K77" s="363"/>
      <c r="L77" s="363"/>
      <c r="M77" s="84"/>
      <c r="O77" s="75" t="str">
        <f t="shared" si="17"/>
        <v>343</v>
      </c>
      <c r="P77" s="75" t="str">
        <f t="shared" si="18"/>
        <v>34</v>
      </c>
      <c r="Q77" s="75" t="str">
        <f t="shared" si="19"/>
        <v>31</v>
      </c>
      <c r="R77" s="75" t="str">
        <f t="shared" si="20"/>
        <v>94</v>
      </c>
      <c r="V77" s="75">
        <v>3813</v>
      </c>
      <c r="W77" s="75" t="s">
        <v>94</v>
      </c>
      <c r="Y77" s="290" t="str">
        <f t="shared" ref="Y77:Y83" si="21">LEFT(V77,2)</f>
        <v>38</v>
      </c>
      <c r="Z77" s="75" t="str">
        <f t="shared" ref="Z77:Z83" si="22">LEFT(V77,3)</f>
        <v>381</v>
      </c>
      <c r="AB77" t="s">
        <v>1888</v>
      </c>
      <c r="AC77" t="s">
        <v>1889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3"/>
        <v>Vlastiti prihodi</v>
      </c>
      <c r="E78" s="360">
        <v>5443</v>
      </c>
      <c r="F78" s="361" t="str">
        <f t="shared" si="14"/>
        <v>Otplata glavnice primljenih kredita od tuzemnih kreditnih in</v>
      </c>
      <c r="G78" s="362" t="s">
        <v>177</v>
      </c>
      <c r="H78" s="361" t="str">
        <f t="shared" si="15"/>
        <v>REDOVNA DJELATNOST SVEUČILIŠTA U OSIJEKU (IZ EVIDENCIJSKIH PRIHODA)</v>
      </c>
      <c r="I78" s="361" t="str">
        <f t="shared" si="16"/>
        <v>0942</v>
      </c>
      <c r="J78" s="363"/>
      <c r="K78" s="363"/>
      <c r="L78" s="363"/>
      <c r="M78" s="84"/>
      <c r="O78" s="75" t="str">
        <f t="shared" si="17"/>
        <v>544</v>
      </c>
      <c r="P78" s="75" t="str">
        <f t="shared" si="18"/>
        <v>54</v>
      </c>
      <c r="Q78" s="75" t="str">
        <f t="shared" si="19"/>
        <v>31</v>
      </c>
      <c r="R78" s="75" t="str">
        <f t="shared" si="20"/>
        <v>94</v>
      </c>
      <c r="V78" s="75">
        <v>3821</v>
      </c>
      <c r="W78" s="75" t="s">
        <v>169</v>
      </c>
      <c r="Y78" s="290" t="str">
        <f t="shared" si="21"/>
        <v>38</v>
      </c>
      <c r="Z78" s="75" t="str">
        <f t="shared" si="22"/>
        <v>382</v>
      </c>
      <c r="AB78" t="s">
        <v>3463</v>
      </c>
      <c r="AC78" t="s">
        <v>3464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3"/>
        <v>Vlastiti prihodi</v>
      </c>
      <c r="E79" s="360">
        <v>3111</v>
      </c>
      <c r="F79" s="361" t="str">
        <f t="shared" si="14"/>
        <v>Plaće za redovan rad</v>
      </c>
      <c r="G79" s="362" t="s">
        <v>177</v>
      </c>
      <c r="H79" s="361" t="str">
        <f t="shared" si="15"/>
        <v>REDOVNA DJELATNOST SVEUČILIŠTA U OSIJEKU (IZ EVIDENCIJSKIH PRIHODA)</v>
      </c>
      <c r="I79" s="361" t="str">
        <f t="shared" si="16"/>
        <v>0942</v>
      </c>
      <c r="J79" s="363">
        <v>16000</v>
      </c>
      <c r="K79" s="363"/>
      <c r="L79" s="363">
        <v>16000</v>
      </c>
      <c r="M79" s="84"/>
      <c r="O79" s="75" t="str">
        <f t="shared" si="17"/>
        <v>311</v>
      </c>
      <c r="P79" s="75" t="str">
        <f t="shared" si="18"/>
        <v>31</v>
      </c>
      <c r="Q79" s="75" t="str">
        <f t="shared" si="19"/>
        <v>31</v>
      </c>
      <c r="R79" s="75" t="str">
        <f t="shared" si="20"/>
        <v>94</v>
      </c>
      <c r="V79" s="75">
        <v>3831</v>
      </c>
      <c r="W79" s="75" t="s">
        <v>152</v>
      </c>
      <c r="Y79" s="290" t="str">
        <f t="shared" si="21"/>
        <v>38</v>
      </c>
      <c r="Z79" s="75" t="str">
        <f t="shared" si="22"/>
        <v>383</v>
      </c>
      <c r="AB79" t="s">
        <v>1890</v>
      </c>
      <c r="AC79" t="s">
        <v>1891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3"/>
        <v>Vlastiti prihodi</v>
      </c>
      <c r="E80" s="360">
        <v>3121</v>
      </c>
      <c r="F80" s="361" t="str">
        <f t="shared" si="14"/>
        <v>Ostali rashodi za zaposlene</v>
      </c>
      <c r="G80" s="362" t="s">
        <v>177</v>
      </c>
      <c r="H80" s="361" t="str">
        <f t="shared" si="15"/>
        <v>REDOVNA DJELATNOST SVEUČILIŠTA U OSIJEKU (IZ EVIDENCIJSKIH PRIHODA)</v>
      </c>
      <c r="I80" s="361" t="str">
        <f t="shared" si="16"/>
        <v>0942</v>
      </c>
      <c r="J80" s="363"/>
      <c r="K80" s="363"/>
      <c r="L80" s="363"/>
      <c r="M80" s="84"/>
      <c r="O80" s="75" t="str">
        <f t="shared" si="17"/>
        <v>312</v>
      </c>
      <c r="P80" s="75" t="str">
        <f t="shared" si="18"/>
        <v>31</v>
      </c>
      <c r="Q80" s="75" t="str">
        <f t="shared" si="19"/>
        <v>31</v>
      </c>
      <c r="R80" s="75" t="str">
        <f t="shared" si="20"/>
        <v>94</v>
      </c>
      <c r="V80" s="75">
        <v>3832</v>
      </c>
      <c r="W80" s="75" t="s">
        <v>192</v>
      </c>
      <c r="Y80" s="290" t="str">
        <f t="shared" si="21"/>
        <v>38</v>
      </c>
      <c r="Z80" s="75" t="str">
        <f t="shared" si="22"/>
        <v>383</v>
      </c>
      <c r="AB80" t="s">
        <v>1892</v>
      </c>
      <c r="AC80" t="s">
        <v>1893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3"/>
        <v>Vlastiti prihodi</v>
      </c>
      <c r="E81" s="360">
        <v>4241</v>
      </c>
      <c r="F81" s="361" t="str">
        <f t="shared" si="14"/>
        <v>Knjige</v>
      </c>
      <c r="G81" s="362" t="s">
        <v>177</v>
      </c>
      <c r="H81" s="361" t="str">
        <f t="shared" si="15"/>
        <v>REDOVNA DJELATNOST SVEUČILIŠTA U OSIJEKU (IZ EVIDENCIJSKIH PRIHODA)</v>
      </c>
      <c r="I81" s="361" t="str">
        <f t="shared" si="16"/>
        <v>0942</v>
      </c>
      <c r="J81" s="363">
        <v>1000</v>
      </c>
      <c r="K81" s="363"/>
      <c r="L81" s="363">
        <v>1000</v>
      </c>
      <c r="M81" s="84"/>
      <c r="O81" s="75" t="str">
        <f t="shared" si="17"/>
        <v>424</v>
      </c>
      <c r="P81" s="75" t="str">
        <f t="shared" si="18"/>
        <v>42</v>
      </c>
      <c r="Q81" s="75" t="str">
        <f t="shared" si="19"/>
        <v>31</v>
      </c>
      <c r="R81" s="75" t="str">
        <f t="shared" si="20"/>
        <v>94</v>
      </c>
      <c r="V81" s="75">
        <v>3833</v>
      </c>
      <c r="W81" s="75" t="s">
        <v>153</v>
      </c>
      <c r="Y81" s="290" t="str">
        <f t="shared" si="21"/>
        <v>38</v>
      </c>
      <c r="Z81" s="75" t="str">
        <f t="shared" si="22"/>
        <v>383</v>
      </c>
      <c r="AB81" t="s">
        <v>1894</v>
      </c>
      <c r="AC81" t="s">
        <v>1895</v>
      </c>
      <c r="AD81" s="75" t="s">
        <v>5143</v>
      </c>
      <c r="AE81" s="75" t="s">
        <v>5144</v>
      </c>
      <c r="AF81" s="75" t="s">
        <v>5165</v>
      </c>
      <c r="AG81" s="75" t="s">
        <v>5175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13"/>
        <v>Vlastiti prihodi</v>
      </c>
      <c r="E82" s="360">
        <v>4222</v>
      </c>
      <c r="F82" s="361" t="str">
        <f t="shared" si="14"/>
        <v>Komunikacijska oprema</v>
      </c>
      <c r="G82" s="362" t="s">
        <v>177</v>
      </c>
      <c r="H82" s="361" t="str">
        <f t="shared" si="15"/>
        <v>REDOVNA DJELATNOST SVEUČILIŠTA U OSIJEKU (IZ EVIDENCIJSKIH PRIHODA)</v>
      </c>
      <c r="I82" s="361" t="str">
        <f t="shared" si="16"/>
        <v>0942</v>
      </c>
      <c r="J82" s="363">
        <v>8364</v>
      </c>
      <c r="K82" s="363"/>
      <c r="L82" s="363">
        <v>8364</v>
      </c>
      <c r="M82" s="84"/>
      <c r="O82" s="75" t="str">
        <f t="shared" si="17"/>
        <v>422</v>
      </c>
      <c r="P82" s="75" t="str">
        <f t="shared" si="18"/>
        <v>42</v>
      </c>
      <c r="Q82" s="75" t="str">
        <f t="shared" si="19"/>
        <v>31</v>
      </c>
      <c r="R82" s="75" t="str">
        <f t="shared" si="20"/>
        <v>94</v>
      </c>
      <c r="V82" s="75">
        <v>3834</v>
      </c>
      <c r="W82" s="75" t="s">
        <v>154</v>
      </c>
      <c r="Y82" s="290" t="str">
        <f t="shared" si="21"/>
        <v>38</v>
      </c>
      <c r="Z82" s="75" t="str">
        <f t="shared" si="22"/>
        <v>383</v>
      </c>
      <c r="AB82" t="s">
        <v>1634</v>
      </c>
      <c r="AC82" t="s">
        <v>1635</v>
      </c>
      <c r="AD82" s="75" t="s">
        <v>5141</v>
      </c>
      <c r="AE82" s="75" t="s">
        <v>5142</v>
      </c>
      <c r="AF82" s="75" t="s">
        <v>5167</v>
      </c>
      <c r="AG82" s="75" t="s">
        <v>5168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3"/>
        <v>Vlastiti prihodi</v>
      </c>
      <c r="E83" s="360">
        <v>3213</v>
      </c>
      <c r="F83" s="361" t="str">
        <f t="shared" si="14"/>
        <v>Stručno usavršavanje zaposlenika</v>
      </c>
      <c r="G83" s="362" t="s">
        <v>177</v>
      </c>
      <c r="H83" s="361" t="str">
        <f t="shared" si="15"/>
        <v>REDOVNA DJELATNOST SVEUČILIŠTA U OSIJEKU (IZ EVIDENCIJSKIH PRIHODA)</v>
      </c>
      <c r="I83" s="361" t="str">
        <f t="shared" si="16"/>
        <v>0942</v>
      </c>
      <c r="J83" s="363">
        <v>1500</v>
      </c>
      <c r="K83" s="363"/>
      <c r="L83" s="363">
        <v>1500</v>
      </c>
      <c r="M83" s="84"/>
      <c r="O83" s="75" t="str">
        <f t="shared" si="17"/>
        <v>321</v>
      </c>
      <c r="P83" s="75" t="str">
        <f t="shared" si="18"/>
        <v>32</v>
      </c>
      <c r="Q83" s="75" t="str">
        <f t="shared" si="19"/>
        <v>31</v>
      </c>
      <c r="R83" s="75" t="str">
        <f t="shared" si="20"/>
        <v>94</v>
      </c>
      <c r="V83" s="75">
        <v>3835</v>
      </c>
      <c r="W83" s="75" t="s">
        <v>155</v>
      </c>
      <c r="Y83" s="290" t="str">
        <f t="shared" si="21"/>
        <v>38</v>
      </c>
      <c r="Z83" s="75" t="str">
        <f t="shared" si="22"/>
        <v>383</v>
      </c>
      <c r="AB83" t="s">
        <v>1896</v>
      </c>
      <c r="AC83" t="s">
        <v>1897</v>
      </c>
      <c r="AD83" s="75" t="s">
        <v>5143</v>
      </c>
      <c r="AE83" s="75" t="s">
        <v>5144</v>
      </c>
      <c r="AF83" s="75" t="s">
        <v>5165</v>
      </c>
      <c r="AG83" s="75" t="s">
        <v>5175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si="13"/>
        <v>Vlastiti prihodi</v>
      </c>
      <c r="E84" s="360">
        <v>5443</v>
      </c>
      <c r="F84" s="361" t="str">
        <f t="shared" si="14"/>
        <v>Otplata glavnice primljenih kredita od tuzemnih kreditnih in</v>
      </c>
      <c r="G84" s="362" t="s">
        <v>177</v>
      </c>
      <c r="H84" s="361" t="str">
        <f t="shared" si="15"/>
        <v>REDOVNA DJELATNOST SVEUČILIŠTA U OSIJEKU (IZ EVIDENCIJSKIH PRIHODA)</v>
      </c>
      <c r="I84" s="361" t="str">
        <f t="shared" si="16"/>
        <v>0942</v>
      </c>
      <c r="J84" s="363">
        <v>2665</v>
      </c>
      <c r="K84" s="363"/>
      <c r="L84" s="363">
        <v>2665</v>
      </c>
      <c r="M84" s="84"/>
      <c r="O84" s="75" t="str">
        <f t="shared" si="17"/>
        <v>544</v>
      </c>
      <c r="P84" s="75" t="str">
        <f t="shared" si="18"/>
        <v>54</v>
      </c>
      <c r="Q84" s="75" t="str">
        <f t="shared" si="19"/>
        <v>31</v>
      </c>
      <c r="R84" s="75" t="str">
        <f t="shared" si="20"/>
        <v>94</v>
      </c>
      <c r="V84" s="127">
        <v>3861</v>
      </c>
      <c r="W84" s="75" t="s">
        <v>660</v>
      </c>
      <c r="X84" s="127"/>
      <c r="Y84" s="290" t="str">
        <f>LEFT(V84,2)</f>
        <v>38</v>
      </c>
      <c r="Z84" s="127" t="str">
        <f>LEFT(V84,3)</f>
        <v>386</v>
      </c>
      <c r="AB84" t="s">
        <v>1898</v>
      </c>
      <c r="AC84" t="s">
        <v>1899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13"/>
        <v>Vlastiti prihodi</v>
      </c>
      <c r="E85" s="85">
        <v>3241</v>
      </c>
      <c r="F85" s="80" t="str">
        <f t="shared" si="14"/>
        <v>Naknade troškova osobama izvan radnog odnosa</v>
      </c>
      <c r="G85" s="118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/>
      <c r="K85" s="117"/>
      <c r="L85" s="363"/>
      <c r="M85" s="84"/>
      <c r="O85" s="75" t="str">
        <f t="shared" si="17"/>
        <v>324</v>
      </c>
      <c r="P85" s="75" t="str">
        <f t="shared" si="18"/>
        <v>32</v>
      </c>
      <c r="Q85" s="75" t="str">
        <f t="shared" si="19"/>
        <v>31</v>
      </c>
      <c r="R85" s="75" t="str">
        <f t="shared" si="20"/>
        <v>94</v>
      </c>
      <c r="V85" s="126">
        <v>3862</v>
      </c>
      <c r="W85" s="75" t="s">
        <v>661</v>
      </c>
      <c r="Y85" s="290" t="str">
        <f>LEFT(V85,2)</f>
        <v>38</v>
      </c>
      <c r="Z85" s="75" t="str">
        <f>LEFT(V85,3)</f>
        <v>386</v>
      </c>
      <c r="AB85" t="s">
        <v>1900</v>
      </c>
      <c r="AC85" t="s">
        <v>1901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61</v>
      </c>
      <c r="D86" s="80" t="str">
        <f t="shared" si="13"/>
        <v>Donacije</v>
      </c>
      <c r="E86" s="85">
        <v>3233</v>
      </c>
      <c r="F86" s="80" t="str">
        <f t="shared" si="14"/>
        <v>Usluge promidžbe i informiranja</v>
      </c>
      <c r="G86" s="118" t="s">
        <v>177</v>
      </c>
      <c r="H86" s="80" t="str">
        <f t="shared" si="15"/>
        <v>REDOVNA DJELATNOST SVEUČILIŠTA U OSIJEKU (IZ EVIDENCIJSKIH PRIHODA)</v>
      </c>
      <c r="I86" s="80" t="str">
        <f t="shared" si="16"/>
        <v>0942</v>
      </c>
      <c r="J86" s="117">
        <v>1500</v>
      </c>
      <c r="K86" s="117">
        <v>-1000</v>
      </c>
      <c r="L86" s="363">
        <v>500</v>
      </c>
      <c r="M86" s="84"/>
      <c r="O86" s="75" t="str">
        <f t="shared" si="17"/>
        <v>323</v>
      </c>
      <c r="P86" s="75" t="str">
        <f t="shared" si="18"/>
        <v>32</v>
      </c>
      <c r="Q86" s="75" t="str">
        <f t="shared" si="19"/>
        <v>61</v>
      </c>
      <c r="R86" s="75" t="str">
        <f t="shared" si="20"/>
        <v>94</v>
      </c>
      <c r="V86" s="126">
        <v>3863</v>
      </c>
      <c r="W86" s="75" t="s">
        <v>662</v>
      </c>
      <c r="Y86" s="290" t="str">
        <f>LEFT(V86,2)</f>
        <v>38</v>
      </c>
      <c r="Z86" s="75" t="str">
        <f>LEFT(V86,3)</f>
        <v>386</v>
      </c>
      <c r="AB86" t="s">
        <v>1902</v>
      </c>
      <c r="AC86" t="s">
        <v>1903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61</v>
      </c>
      <c r="D87" s="80" t="str">
        <f t="shared" si="13"/>
        <v>Donacije</v>
      </c>
      <c r="E87" s="85">
        <v>3211</v>
      </c>
      <c r="F87" s="80" t="str">
        <f t="shared" si="14"/>
        <v>Službena putovanja</v>
      </c>
      <c r="G87" s="118" t="s">
        <v>177</v>
      </c>
      <c r="H87" s="80" t="str">
        <f t="shared" si="15"/>
        <v>REDOVNA DJELATNOST SVEUČILIŠTA U OSIJEKU (IZ EVIDENCIJSKIH PRIHODA)</v>
      </c>
      <c r="I87" s="80" t="str">
        <f t="shared" si="16"/>
        <v>0942</v>
      </c>
      <c r="J87" s="117"/>
      <c r="K87" s="117"/>
      <c r="L87" s="363"/>
      <c r="M87" s="84"/>
      <c r="O87" s="75" t="str">
        <f t="shared" si="17"/>
        <v>321</v>
      </c>
      <c r="P87" s="75" t="str">
        <f t="shared" si="18"/>
        <v>32</v>
      </c>
      <c r="Q87" s="75" t="str">
        <f t="shared" si="19"/>
        <v>61</v>
      </c>
      <c r="R87" s="75" t="str">
        <f t="shared" si="20"/>
        <v>94</v>
      </c>
      <c r="V87" s="75">
        <v>4111</v>
      </c>
      <c r="W87" s="75" t="s">
        <v>156</v>
      </c>
      <c r="Y87" s="290" t="str">
        <f t="shared" ref="Y87:Y104" si="23">LEFT(V87,2)</f>
        <v>41</v>
      </c>
      <c r="Z87" s="75" t="str">
        <f t="shared" ref="Z87:Z121" si="24">LEFT(V87,3)</f>
        <v>411</v>
      </c>
      <c r="AB87" t="s">
        <v>1904</v>
      </c>
      <c r="AC87" t="s">
        <v>1905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13"/>
        <v>Ostale pomoći</v>
      </c>
      <c r="E88" s="360">
        <v>3111</v>
      </c>
      <c r="F88" s="361" t="str">
        <f t="shared" si="14"/>
        <v>Plaće za redovan rad</v>
      </c>
      <c r="G88" s="362" t="s">
        <v>177</v>
      </c>
      <c r="H88" s="361" t="str">
        <f t="shared" si="15"/>
        <v>REDOVNA DJELATNOST SVEUČILIŠTA U OSIJEKU (IZ EVIDENCIJSKIH PRIHODA)</v>
      </c>
      <c r="I88" s="361" t="str">
        <f t="shared" si="16"/>
        <v>0942</v>
      </c>
      <c r="J88" s="363"/>
      <c r="K88" s="363"/>
      <c r="L88" s="363"/>
      <c r="M88" s="84"/>
      <c r="O88" s="75" t="str">
        <f t="shared" si="17"/>
        <v>311</v>
      </c>
      <c r="P88" s="75" t="str">
        <f t="shared" si="18"/>
        <v>31</v>
      </c>
      <c r="Q88" s="75" t="str">
        <f t="shared" si="19"/>
        <v>52</v>
      </c>
      <c r="R88" s="75" t="str">
        <f t="shared" si="20"/>
        <v>94</v>
      </c>
      <c r="V88" s="75">
        <v>4113</v>
      </c>
      <c r="W88" s="75" t="s">
        <v>190</v>
      </c>
      <c r="Y88" s="290" t="str">
        <f t="shared" si="23"/>
        <v>41</v>
      </c>
      <c r="Z88" s="75" t="str">
        <f t="shared" si="24"/>
        <v>411</v>
      </c>
      <c r="AB88" t="s">
        <v>1906</v>
      </c>
      <c r="AC88" t="s">
        <v>1907</v>
      </c>
      <c r="AD88" s="75" t="s">
        <v>5147</v>
      </c>
      <c r="AE88" s="75" t="s">
        <v>5148</v>
      </c>
      <c r="AF88" s="75" t="s">
        <v>5165</v>
      </c>
      <c r="AG88" s="75" t="s">
        <v>5173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3"/>
        <v>Ostale pomoći</v>
      </c>
      <c r="E89" s="360">
        <v>3121</v>
      </c>
      <c r="F89" s="361" t="str">
        <f t="shared" si="14"/>
        <v>Ostali rashodi za zaposlene</v>
      </c>
      <c r="G89" s="362" t="s">
        <v>177</v>
      </c>
      <c r="H89" s="361" t="str">
        <f t="shared" si="15"/>
        <v>REDOVNA DJELATNOST SVEUČILIŠTA U OSIJEKU (IZ EVIDENCIJSKIH PRIHODA)</v>
      </c>
      <c r="I89" s="361" t="str">
        <f t="shared" si="16"/>
        <v>0942</v>
      </c>
      <c r="J89" s="363"/>
      <c r="K89" s="363"/>
      <c r="L89" s="363"/>
      <c r="M89" s="84"/>
      <c r="O89" s="75" t="str">
        <f t="shared" si="17"/>
        <v>312</v>
      </c>
      <c r="P89" s="75" t="str">
        <f t="shared" si="18"/>
        <v>31</v>
      </c>
      <c r="Q89" s="75" t="str">
        <f t="shared" si="19"/>
        <v>52</v>
      </c>
      <c r="R89" s="75" t="str">
        <f t="shared" si="20"/>
        <v>94</v>
      </c>
      <c r="V89" s="75">
        <v>4122</v>
      </c>
      <c r="W89" s="75" t="s">
        <v>157</v>
      </c>
      <c r="Y89" s="290" t="str">
        <f t="shared" si="23"/>
        <v>41</v>
      </c>
      <c r="Z89" s="75" t="str">
        <f t="shared" si="24"/>
        <v>412</v>
      </c>
      <c r="AB89" t="s">
        <v>1920</v>
      </c>
      <c r="AC89" t="s">
        <v>1921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3"/>
        <v>Ostale pomoći</v>
      </c>
      <c r="E90" s="360">
        <v>3211</v>
      </c>
      <c r="F90" s="361" t="str">
        <f t="shared" si="14"/>
        <v>Službena putovanja</v>
      </c>
      <c r="G90" s="362" t="s">
        <v>177</v>
      </c>
      <c r="H90" s="361" t="str">
        <f t="shared" si="15"/>
        <v>REDOVNA DJELATNOST SVEUČILIŠTA U OSIJEKU (IZ EVIDENCIJSKIH PRIHODA)</v>
      </c>
      <c r="I90" s="361" t="str">
        <f t="shared" si="16"/>
        <v>0942</v>
      </c>
      <c r="J90" s="363"/>
      <c r="K90" s="363"/>
      <c r="L90" s="363"/>
      <c r="M90" s="84"/>
      <c r="O90" s="75" t="str">
        <f t="shared" si="17"/>
        <v>321</v>
      </c>
      <c r="P90" s="75" t="str">
        <f t="shared" si="18"/>
        <v>32</v>
      </c>
      <c r="Q90" s="75" t="str">
        <f t="shared" si="19"/>
        <v>52</v>
      </c>
      <c r="R90" s="75" t="str">
        <f t="shared" si="20"/>
        <v>94</v>
      </c>
      <c r="V90" s="75">
        <v>4123</v>
      </c>
      <c r="W90" s="75" t="s">
        <v>128</v>
      </c>
      <c r="Y90" s="290" t="str">
        <f t="shared" si="23"/>
        <v>41</v>
      </c>
      <c r="Z90" s="75" t="str">
        <f t="shared" si="24"/>
        <v>412</v>
      </c>
      <c r="AB90" t="s">
        <v>1636</v>
      </c>
      <c r="AC90" t="s">
        <v>1637</v>
      </c>
      <c r="AD90" s="75" t="s">
        <v>5141</v>
      </c>
      <c r="AE90" s="75" t="s">
        <v>5142</v>
      </c>
      <c r="AF90" s="75" t="s">
        <v>5167</v>
      </c>
      <c r="AG90" s="75" t="s">
        <v>5168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3"/>
        <v>Ostale pomoći</v>
      </c>
      <c r="E91" s="360">
        <v>3221</v>
      </c>
      <c r="F91" s="361" t="str">
        <f t="shared" si="14"/>
        <v>Uredski materijal i ostali materijalni rashodi</v>
      </c>
      <c r="G91" s="362" t="s">
        <v>177</v>
      </c>
      <c r="H91" s="361" t="str">
        <f t="shared" si="15"/>
        <v>REDOVNA DJELATNOST SVEUČILIŠTA U OSIJEKU (IZ EVIDENCIJSKIH PRIHODA)</v>
      </c>
      <c r="I91" s="361" t="str">
        <f t="shared" si="16"/>
        <v>0942</v>
      </c>
      <c r="J91" s="363"/>
      <c r="K91" s="363"/>
      <c r="L91" s="363"/>
      <c r="M91" s="84"/>
      <c r="O91" s="75" t="str">
        <f t="shared" si="17"/>
        <v>322</v>
      </c>
      <c r="P91" s="75" t="str">
        <f t="shared" si="18"/>
        <v>32</v>
      </c>
      <c r="Q91" s="75" t="str">
        <f t="shared" si="19"/>
        <v>52</v>
      </c>
      <c r="R91" s="75" t="str">
        <f t="shared" si="20"/>
        <v>94</v>
      </c>
      <c r="V91" s="75">
        <v>4124</v>
      </c>
      <c r="W91" s="75" t="s">
        <v>114</v>
      </c>
      <c r="Y91" s="290" t="str">
        <f t="shared" si="23"/>
        <v>41</v>
      </c>
      <c r="Z91" s="75" t="str">
        <f t="shared" si="24"/>
        <v>412</v>
      </c>
      <c r="AB91" t="s">
        <v>1636</v>
      </c>
      <c r="AC91" t="s">
        <v>1637</v>
      </c>
      <c r="AD91" s="75" t="s">
        <v>5143</v>
      </c>
      <c r="AE91" s="75" t="s">
        <v>5144</v>
      </c>
      <c r="AF91" s="75" t="s">
        <v>5165</v>
      </c>
      <c r="AG91" s="75" t="s">
        <v>5175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3"/>
        <v>Ostale pomoći</v>
      </c>
      <c r="E92" s="360">
        <v>3222</v>
      </c>
      <c r="F92" s="361" t="str">
        <f t="shared" si="14"/>
        <v>Materijal i sirovine</v>
      </c>
      <c r="G92" s="362" t="s">
        <v>177</v>
      </c>
      <c r="H92" s="361" t="str">
        <f t="shared" si="15"/>
        <v>REDOVNA DJELATNOST SVEUČILIŠTA U OSIJEKU (IZ EVIDENCIJSKIH PRIHODA)</v>
      </c>
      <c r="I92" s="361" t="str">
        <f t="shared" si="16"/>
        <v>0942</v>
      </c>
      <c r="J92" s="363"/>
      <c r="K92" s="363">
        <v>8000</v>
      </c>
      <c r="L92" s="363">
        <v>8000</v>
      </c>
      <c r="M92" s="84"/>
      <c r="O92" s="75" t="str">
        <f t="shared" si="17"/>
        <v>322</v>
      </c>
      <c r="P92" s="75" t="str">
        <f t="shared" si="18"/>
        <v>32</v>
      </c>
      <c r="Q92" s="75" t="str">
        <f t="shared" si="19"/>
        <v>52</v>
      </c>
      <c r="R92" s="75" t="str">
        <f t="shared" si="20"/>
        <v>94</v>
      </c>
      <c r="V92" s="75">
        <v>4126</v>
      </c>
      <c r="W92" s="75" t="s">
        <v>158</v>
      </c>
      <c r="Y92" s="290" t="str">
        <f t="shared" si="23"/>
        <v>41</v>
      </c>
      <c r="Z92" s="75" t="str">
        <f t="shared" si="24"/>
        <v>412</v>
      </c>
      <c r="AB92" t="s">
        <v>950</v>
      </c>
      <c r="AC92" t="s">
        <v>951</v>
      </c>
      <c r="AD92" s="75" t="s">
        <v>5143</v>
      </c>
      <c r="AE92" s="75" t="s">
        <v>5144</v>
      </c>
      <c r="AF92" s="75" t="s">
        <v>5165</v>
      </c>
      <c r="AG92" s="75" t="s">
        <v>5175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3"/>
        <v>Ostale pomoći</v>
      </c>
      <c r="E93" s="360">
        <v>3224</v>
      </c>
      <c r="F93" s="361" t="str">
        <f t="shared" si="14"/>
        <v>Materijal i dijelovi za tekuće i investicijsko održavanje</v>
      </c>
      <c r="G93" s="362" t="s">
        <v>177</v>
      </c>
      <c r="H93" s="361" t="str">
        <f t="shared" si="15"/>
        <v>REDOVNA DJELATNOST SVEUČILIŠTA U OSIJEKU (IZ EVIDENCIJSKIH PRIHODA)</v>
      </c>
      <c r="I93" s="361" t="str">
        <f t="shared" si="16"/>
        <v>0942</v>
      </c>
      <c r="J93" s="363"/>
      <c r="K93" s="363"/>
      <c r="L93" s="363"/>
      <c r="M93" s="84"/>
      <c r="O93" s="75" t="str">
        <f t="shared" si="17"/>
        <v>322</v>
      </c>
      <c r="P93" s="75" t="str">
        <f t="shared" si="18"/>
        <v>32</v>
      </c>
      <c r="Q93" s="75" t="str">
        <f t="shared" si="19"/>
        <v>52</v>
      </c>
      <c r="R93" s="75" t="str">
        <f t="shared" si="20"/>
        <v>94</v>
      </c>
      <c r="V93" s="75">
        <v>4211</v>
      </c>
      <c r="W93" s="75" t="s">
        <v>172</v>
      </c>
      <c r="Y93" s="290" t="str">
        <f t="shared" si="23"/>
        <v>42</v>
      </c>
      <c r="Z93" s="75" t="str">
        <f t="shared" si="24"/>
        <v>421</v>
      </c>
      <c r="AB93" t="s">
        <v>952</v>
      </c>
      <c r="AC93" t="s">
        <v>953</v>
      </c>
      <c r="AD93" s="75" t="s">
        <v>5143</v>
      </c>
      <c r="AE93" s="75" t="s">
        <v>5144</v>
      </c>
      <c r="AF93" s="75" t="s">
        <v>5165</v>
      </c>
      <c r="AG93" s="75" t="s">
        <v>5175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3"/>
        <v>Ostale pomoći</v>
      </c>
      <c r="E94" s="360">
        <v>3225</v>
      </c>
      <c r="F94" s="361" t="str">
        <f t="shared" si="14"/>
        <v>Sitni inventar i auto gume</v>
      </c>
      <c r="G94" s="362" t="s">
        <v>177</v>
      </c>
      <c r="H94" s="361" t="str">
        <f t="shared" si="15"/>
        <v>REDOVNA DJELATNOST SVEUČILIŠTA U OSIJEKU (IZ EVIDENCIJSKIH PRIHODA)</v>
      </c>
      <c r="I94" s="361" t="str">
        <f t="shared" si="16"/>
        <v>0942</v>
      </c>
      <c r="J94" s="363"/>
      <c r="K94" s="363"/>
      <c r="L94" s="363"/>
      <c r="M94" s="84"/>
      <c r="O94" s="75" t="str">
        <f t="shared" si="17"/>
        <v>322</v>
      </c>
      <c r="P94" s="75" t="str">
        <f t="shared" si="18"/>
        <v>32</v>
      </c>
      <c r="Q94" s="75" t="str">
        <f t="shared" si="19"/>
        <v>52</v>
      </c>
      <c r="R94" s="75" t="str">
        <f t="shared" si="20"/>
        <v>94</v>
      </c>
      <c r="V94" s="75">
        <v>4212</v>
      </c>
      <c r="W94" s="75" t="s">
        <v>60</v>
      </c>
      <c r="Y94" s="290" t="str">
        <f t="shared" si="23"/>
        <v>42</v>
      </c>
      <c r="Z94" s="75" t="str">
        <f t="shared" si="24"/>
        <v>421</v>
      </c>
      <c r="AB94" t="s">
        <v>959</v>
      </c>
      <c r="AC94" t="s">
        <v>960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3"/>
        <v>Ostale pomoći</v>
      </c>
      <c r="E95" s="360">
        <v>3231</v>
      </c>
      <c r="F95" s="361" t="str">
        <f t="shared" si="14"/>
        <v>Usluge telefona, pošte i prijevoza</v>
      </c>
      <c r="G95" s="362" t="s">
        <v>177</v>
      </c>
      <c r="H95" s="361" t="str">
        <f t="shared" si="15"/>
        <v>REDOVNA DJELATNOST SVEUČILIŠTA U OSIJEKU (IZ EVIDENCIJSKIH PRIHODA)</v>
      </c>
      <c r="I95" s="361" t="str">
        <f t="shared" si="16"/>
        <v>0942</v>
      </c>
      <c r="J95" s="363"/>
      <c r="K95" s="363">
        <v>5761</v>
      </c>
      <c r="L95" s="363">
        <v>5761</v>
      </c>
      <c r="M95" s="84"/>
      <c r="O95" s="75" t="str">
        <f t="shared" si="17"/>
        <v>323</v>
      </c>
      <c r="P95" s="75" t="str">
        <f t="shared" si="18"/>
        <v>32</v>
      </c>
      <c r="Q95" s="75" t="str">
        <f t="shared" si="19"/>
        <v>52</v>
      </c>
      <c r="R95" s="75" t="str">
        <f t="shared" si="20"/>
        <v>94</v>
      </c>
      <c r="V95" s="75">
        <v>4213</v>
      </c>
      <c r="W95" s="75" t="s">
        <v>159</v>
      </c>
      <c r="Y95" s="290" t="str">
        <f t="shared" si="23"/>
        <v>42</v>
      </c>
      <c r="Z95" s="75" t="str">
        <f t="shared" si="24"/>
        <v>421</v>
      </c>
      <c r="AB95" t="s">
        <v>1638</v>
      </c>
      <c r="AC95" t="s">
        <v>1639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3"/>
        <v>Ostale pomoći</v>
      </c>
      <c r="E96" s="360">
        <v>3233</v>
      </c>
      <c r="F96" s="361" t="str">
        <f t="shared" si="14"/>
        <v>Usluge promidžbe i informiranja</v>
      </c>
      <c r="G96" s="362" t="s">
        <v>177</v>
      </c>
      <c r="H96" s="361" t="str">
        <f t="shared" si="15"/>
        <v>REDOVNA DJELATNOST SVEUČILIŠTA U OSIJEKU (IZ EVIDENCIJSKIH PRIHODA)</v>
      </c>
      <c r="I96" s="361" t="str">
        <f t="shared" si="16"/>
        <v>0942</v>
      </c>
      <c r="J96" s="363"/>
      <c r="K96" s="363">
        <v>10000</v>
      </c>
      <c r="L96" s="363">
        <v>10000</v>
      </c>
      <c r="M96" s="84"/>
      <c r="O96" s="75" t="str">
        <f t="shared" si="17"/>
        <v>323</v>
      </c>
      <c r="P96" s="75" t="str">
        <f t="shared" si="18"/>
        <v>32</v>
      </c>
      <c r="Q96" s="75" t="str">
        <f t="shared" si="19"/>
        <v>52</v>
      </c>
      <c r="R96" s="75" t="str">
        <f t="shared" si="20"/>
        <v>94</v>
      </c>
      <c r="V96" s="75">
        <v>4214</v>
      </c>
      <c r="W96" s="75" t="s">
        <v>160</v>
      </c>
      <c r="Y96" s="290" t="str">
        <f t="shared" si="23"/>
        <v>42</v>
      </c>
      <c r="Z96" s="75" t="str">
        <f t="shared" si="24"/>
        <v>421</v>
      </c>
      <c r="AB96" t="s">
        <v>1922</v>
      </c>
      <c r="AC96" t="s">
        <v>1923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3"/>
        <v>Ostale pomoći</v>
      </c>
      <c r="E97" s="360">
        <v>3237</v>
      </c>
      <c r="F97" s="361" t="str">
        <f t="shared" si="14"/>
        <v>Intelektualne i osobne usluge</v>
      </c>
      <c r="G97" s="362" t="s">
        <v>177</v>
      </c>
      <c r="H97" s="361" t="str">
        <f t="shared" si="15"/>
        <v>REDOVNA DJELATNOST SVEUČILIŠTA U OSIJEKU (IZ EVIDENCIJSKIH PRIHODA)</v>
      </c>
      <c r="I97" s="361" t="str">
        <f t="shared" si="16"/>
        <v>0942</v>
      </c>
      <c r="J97" s="363"/>
      <c r="K97" s="363"/>
      <c r="L97" s="363"/>
      <c r="M97" s="84"/>
      <c r="O97" s="75" t="str">
        <f t="shared" si="17"/>
        <v>323</v>
      </c>
      <c r="P97" s="75" t="str">
        <f t="shared" si="18"/>
        <v>32</v>
      </c>
      <c r="Q97" s="75" t="str">
        <f t="shared" si="19"/>
        <v>52</v>
      </c>
      <c r="R97" s="75" t="str">
        <f t="shared" si="20"/>
        <v>94</v>
      </c>
      <c r="V97" s="75">
        <v>4221</v>
      </c>
      <c r="W97" s="75" t="s">
        <v>95</v>
      </c>
      <c r="Y97" s="290" t="str">
        <f t="shared" si="23"/>
        <v>42</v>
      </c>
      <c r="Z97" s="75" t="str">
        <f t="shared" si="24"/>
        <v>422</v>
      </c>
      <c r="AB97" t="s">
        <v>1640</v>
      </c>
      <c r="AC97" t="s">
        <v>1641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3"/>
        <v>Ostale pomoći</v>
      </c>
      <c r="E98" s="360">
        <v>3239</v>
      </c>
      <c r="F98" s="361" t="str">
        <f t="shared" si="14"/>
        <v>Ostale usluge</v>
      </c>
      <c r="G98" s="362" t="s">
        <v>177</v>
      </c>
      <c r="H98" s="361" t="str">
        <f t="shared" si="15"/>
        <v>REDOVNA DJELATNOST SVEUČILIŠTA U OSIJEKU (IZ EVIDENCIJSKIH PRIHODA)</v>
      </c>
      <c r="I98" s="361" t="str">
        <f t="shared" si="16"/>
        <v>0942</v>
      </c>
      <c r="J98" s="363"/>
      <c r="K98" s="363">
        <v>10000</v>
      </c>
      <c r="L98" s="363">
        <v>10000</v>
      </c>
      <c r="M98" s="84"/>
      <c r="O98" s="75" t="str">
        <f t="shared" si="17"/>
        <v>323</v>
      </c>
      <c r="P98" s="75" t="str">
        <f t="shared" si="18"/>
        <v>32</v>
      </c>
      <c r="Q98" s="75" t="str">
        <f t="shared" si="19"/>
        <v>52</v>
      </c>
      <c r="R98" s="75" t="str">
        <f t="shared" si="20"/>
        <v>94</v>
      </c>
      <c r="V98" s="75">
        <v>4222</v>
      </c>
      <c r="W98" s="75" t="s">
        <v>106</v>
      </c>
      <c r="Y98" s="290" t="str">
        <f t="shared" si="23"/>
        <v>42</v>
      </c>
      <c r="Z98" s="75" t="str">
        <f t="shared" si="24"/>
        <v>422</v>
      </c>
      <c r="AB98" t="s">
        <v>1924</v>
      </c>
      <c r="AC98" t="s">
        <v>1925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3"/>
        <v>Ostale pomoći</v>
      </c>
      <c r="E99" s="360">
        <v>3299</v>
      </c>
      <c r="F99" s="361" t="str">
        <f t="shared" si="14"/>
        <v>Ostali nespomenuti rashodi poslovanja</v>
      </c>
      <c r="G99" s="362" t="s">
        <v>177</v>
      </c>
      <c r="H99" s="361" t="str">
        <f t="shared" si="15"/>
        <v>REDOVNA DJELATNOST SVEUČILIŠTA U OSIJEKU (IZ EVIDENCIJSKIH PRIHODA)</v>
      </c>
      <c r="I99" s="361" t="str">
        <f t="shared" si="16"/>
        <v>0942</v>
      </c>
      <c r="J99" s="363"/>
      <c r="K99" s="363"/>
      <c r="L99" s="363"/>
      <c r="M99" s="84"/>
      <c r="O99" s="75" t="str">
        <f t="shared" si="17"/>
        <v>329</v>
      </c>
      <c r="P99" s="75" t="str">
        <f t="shared" si="18"/>
        <v>32</v>
      </c>
      <c r="Q99" s="75" t="str">
        <f t="shared" si="19"/>
        <v>52</v>
      </c>
      <c r="R99" s="75" t="str">
        <f t="shared" si="20"/>
        <v>94</v>
      </c>
      <c r="V99" s="75">
        <v>4223</v>
      </c>
      <c r="W99" s="75" t="s">
        <v>119</v>
      </c>
      <c r="Y99" s="290" t="str">
        <f t="shared" si="23"/>
        <v>42</v>
      </c>
      <c r="Z99" s="75" t="str">
        <f t="shared" si="24"/>
        <v>422</v>
      </c>
      <c r="AB99" t="s">
        <v>1926</v>
      </c>
      <c r="AC99" t="s">
        <v>1927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3"/>
        <v>Ostale pomoći</v>
      </c>
      <c r="E100" s="360">
        <v>3241</v>
      </c>
      <c r="F100" s="361" t="str">
        <f t="shared" si="14"/>
        <v>Naknade troškova osobama izvan radnog odnosa</v>
      </c>
      <c r="G100" s="362" t="s">
        <v>177</v>
      </c>
      <c r="H100" s="361" t="str">
        <f t="shared" si="15"/>
        <v>REDOVNA DJELATNOST SVEUČILIŠTA U OSIJEKU (IZ EVIDENCIJSKIH PRIHODA)</v>
      </c>
      <c r="I100" s="361" t="str">
        <f t="shared" si="16"/>
        <v>0942</v>
      </c>
      <c r="J100" s="363"/>
      <c r="K100" s="363">
        <v>20000</v>
      </c>
      <c r="L100" s="363">
        <v>20000</v>
      </c>
      <c r="M100" s="84"/>
      <c r="O100" s="75" t="str">
        <f t="shared" si="17"/>
        <v>324</v>
      </c>
      <c r="P100" s="75" t="str">
        <f t="shared" si="18"/>
        <v>32</v>
      </c>
      <c r="Q100" s="75" t="str">
        <f t="shared" si="19"/>
        <v>52</v>
      </c>
      <c r="R100" s="75" t="str">
        <f t="shared" si="20"/>
        <v>94</v>
      </c>
      <c r="V100" s="75">
        <v>4224</v>
      </c>
      <c r="W100" s="75" t="s">
        <v>112</v>
      </c>
      <c r="Y100" s="290" t="str">
        <f t="shared" si="23"/>
        <v>42</v>
      </c>
      <c r="Z100" s="75" t="str">
        <f t="shared" si="24"/>
        <v>422</v>
      </c>
      <c r="AB100" t="s">
        <v>1928</v>
      </c>
      <c r="AC100" t="s">
        <v>1929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3"/>
        <v>Ostale pomoći</v>
      </c>
      <c r="E101" s="360">
        <v>3293</v>
      </c>
      <c r="F101" s="361" t="str">
        <f t="shared" si="14"/>
        <v>Reprezentacija</v>
      </c>
      <c r="G101" s="362" t="s">
        <v>177</v>
      </c>
      <c r="H101" s="361" t="str">
        <f t="shared" si="15"/>
        <v>REDOVNA DJELATNOST SVEUČILIŠTA U OSIJEKU (IZ EVIDENCIJSKIH PRIHODA)</v>
      </c>
      <c r="I101" s="361" t="str">
        <f t="shared" si="16"/>
        <v>0942</v>
      </c>
      <c r="J101" s="363"/>
      <c r="K101" s="363">
        <v>5000</v>
      </c>
      <c r="L101" s="363">
        <v>5000</v>
      </c>
      <c r="M101" s="84"/>
      <c r="O101" s="75" t="str">
        <f t="shared" si="17"/>
        <v>329</v>
      </c>
      <c r="P101" s="75" t="str">
        <f t="shared" si="18"/>
        <v>32</v>
      </c>
      <c r="Q101" s="75" t="str">
        <f t="shared" si="19"/>
        <v>52</v>
      </c>
      <c r="R101" s="75" t="str">
        <f t="shared" si="20"/>
        <v>94</v>
      </c>
      <c r="V101" s="75">
        <v>4225</v>
      </c>
      <c r="W101" s="75" t="s">
        <v>116</v>
      </c>
      <c r="Y101" s="290" t="str">
        <f t="shared" si="23"/>
        <v>42</v>
      </c>
      <c r="Z101" s="75" t="str">
        <f t="shared" si="24"/>
        <v>422</v>
      </c>
      <c r="AB101" t="s">
        <v>1930</v>
      </c>
      <c r="AC101" t="s">
        <v>1931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13"/>
        <v>Ostale pomoći</v>
      </c>
      <c r="E102" s="360">
        <v>4226</v>
      </c>
      <c r="F102" s="361" t="str">
        <f t="shared" si="14"/>
        <v>Sportska i glazbena oprema</v>
      </c>
      <c r="G102" s="362" t="s">
        <v>177</v>
      </c>
      <c r="H102" s="361" t="str">
        <f t="shared" si="15"/>
        <v>REDOVNA DJELATNOST SVEUČILIŠTA U OSIJEKU (IZ EVIDENCIJSKIH PRIHODA)</v>
      </c>
      <c r="I102" s="361" t="str">
        <f t="shared" si="16"/>
        <v>0942</v>
      </c>
      <c r="J102" s="363"/>
      <c r="K102" s="363"/>
      <c r="L102" s="363"/>
      <c r="M102" s="84"/>
      <c r="O102" s="75" t="str">
        <f t="shared" si="17"/>
        <v>422</v>
      </c>
      <c r="P102" s="75" t="str">
        <f t="shared" si="18"/>
        <v>42</v>
      </c>
      <c r="Q102" s="75" t="str">
        <f t="shared" si="19"/>
        <v>52</v>
      </c>
      <c r="R102" s="75" t="str">
        <f t="shared" si="20"/>
        <v>94</v>
      </c>
      <c r="V102" s="75">
        <v>4226</v>
      </c>
      <c r="W102" s="75" t="s">
        <v>161</v>
      </c>
      <c r="Y102" s="290" t="str">
        <f t="shared" si="23"/>
        <v>42</v>
      </c>
      <c r="Z102" s="75" t="str">
        <f t="shared" si="24"/>
        <v>422</v>
      </c>
      <c r="AB102" t="s">
        <v>1932</v>
      </c>
      <c r="AC102" t="s">
        <v>1933</v>
      </c>
      <c r="AD102" s="75" t="s">
        <v>5143</v>
      </c>
      <c r="AE102" s="75" t="s">
        <v>5144</v>
      </c>
      <c r="AF102" s="75" t="s">
        <v>5165</v>
      </c>
      <c r="AG102" s="75" t="s">
        <v>5175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13"/>
        <v>Ostale pomoći</v>
      </c>
      <c r="E103" s="360">
        <v>3213</v>
      </c>
      <c r="F103" s="361" t="str">
        <f t="shared" si="14"/>
        <v>Stručno usavršavanje zaposlenika</v>
      </c>
      <c r="G103" s="362" t="s">
        <v>92</v>
      </c>
      <c r="H103" s="361" t="str">
        <f t="shared" si="15"/>
        <v>EU PROJEKTI SVEUČILIŠTA U OSIJEKU (IZ EVIDENCIJSKIH PRIHODA)</v>
      </c>
      <c r="I103" s="361" t="str">
        <f t="shared" si="16"/>
        <v>0942</v>
      </c>
      <c r="J103" s="363"/>
      <c r="K103" s="363">
        <v>30500</v>
      </c>
      <c r="L103" s="363">
        <v>30500</v>
      </c>
      <c r="M103" s="84"/>
      <c r="O103" s="75" t="str">
        <f t="shared" si="17"/>
        <v>321</v>
      </c>
      <c r="P103" s="75" t="str">
        <f t="shared" si="18"/>
        <v>32</v>
      </c>
      <c r="Q103" s="75" t="str">
        <f t="shared" si="19"/>
        <v>52</v>
      </c>
      <c r="R103" s="75" t="str">
        <f t="shared" si="20"/>
        <v>94</v>
      </c>
      <c r="V103" s="75">
        <v>4227</v>
      </c>
      <c r="W103" s="75" t="s">
        <v>129</v>
      </c>
      <c r="Y103" s="290" t="str">
        <f t="shared" si="23"/>
        <v>42</v>
      </c>
      <c r="Z103" s="75" t="str">
        <f t="shared" si="24"/>
        <v>422</v>
      </c>
      <c r="AB103" t="s">
        <v>1934</v>
      </c>
      <c r="AC103" t="s">
        <v>1935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/>
      <c r="C104" s="85"/>
      <c r="D104" s="80"/>
      <c r="E104" s="360"/>
      <c r="F104" s="361"/>
      <c r="G104" s="362"/>
      <c r="H104" s="361"/>
      <c r="I104" s="361"/>
      <c r="J104" s="363"/>
      <c r="K104" s="363"/>
      <c r="L104" s="363"/>
      <c r="M104" s="84"/>
      <c r="O104" s="75" t="str">
        <f t="shared" si="17"/>
        <v/>
      </c>
      <c r="P104" s="75" t="str">
        <f t="shared" si="18"/>
        <v/>
      </c>
      <c r="Q104" s="75" t="str">
        <f t="shared" si="19"/>
        <v/>
      </c>
      <c r="R104" s="75" t="str">
        <f t="shared" si="20"/>
        <v/>
      </c>
      <c r="V104" s="75">
        <v>4231</v>
      </c>
      <c r="W104" s="75" t="s">
        <v>162</v>
      </c>
      <c r="Y104" s="290" t="str">
        <f t="shared" si="23"/>
        <v>42</v>
      </c>
      <c r="Z104" s="75" t="str">
        <f t="shared" si="24"/>
        <v>423</v>
      </c>
      <c r="AB104" t="s">
        <v>1936</v>
      </c>
      <c r="AC104" t="s">
        <v>1937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/>
      <c r="C105" s="85"/>
      <c r="D105" s="80"/>
      <c r="E105" s="360"/>
      <c r="F105" s="361"/>
      <c r="G105" s="362"/>
      <c r="H105" s="361"/>
      <c r="I105" s="361"/>
      <c r="J105" s="363"/>
      <c r="K105" s="363"/>
      <c r="L105" s="363"/>
      <c r="M105" s="84"/>
      <c r="O105" s="75" t="str">
        <f t="shared" si="17"/>
        <v/>
      </c>
      <c r="P105" s="75" t="str">
        <f t="shared" si="18"/>
        <v/>
      </c>
      <c r="Q105" s="75" t="str">
        <f t="shared" si="19"/>
        <v/>
      </c>
      <c r="R105" s="75" t="str">
        <f t="shared" si="20"/>
        <v/>
      </c>
      <c r="V105" s="75">
        <v>4233</v>
      </c>
      <c r="W105" s="75" t="s">
        <v>170</v>
      </c>
      <c r="Y105" s="290" t="str">
        <f t="shared" ref="Y105:Y132" si="25">LEFT(V105,2)</f>
        <v>42</v>
      </c>
      <c r="Z105" s="75" t="str">
        <f t="shared" si="24"/>
        <v>423</v>
      </c>
      <c r="AB105" t="s">
        <v>1938</v>
      </c>
      <c r="AC105" t="s">
        <v>1939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/>
      </c>
      <c r="B106" s="79"/>
      <c r="C106" s="85"/>
      <c r="D106" s="80"/>
      <c r="E106" s="360"/>
      <c r="F106" s="361"/>
      <c r="G106" s="362"/>
      <c r="H106" s="361"/>
      <c r="I106" s="361"/>
      <c r="J106" s="363"/>
      <c r="K106" s="363"/>
      <c r="L106" s="363"/>
      <c r="M106" s="84"/>
      <c r="O106" s="75" t="str">
        <f t="shared" si="17"/>
        <v/>
      </c>
      <c r="P106" s="75" t="str">
        <f t="shared" si="18"/>
        <v/>
      </c>
      <c r="Q106" s="75" t="str">
        <f t="shared" si="19"/>
        <v/>
      </c>
      <c r="R106" s="75" t="str">
        <f t="shared" si="20"/>
        <v/>
      </c>
      <c r="V106" s="75">
        <v>4241</v>
      </c>
      <c r="W106" s="75" t="s">
        <v>107</v>
      </c>
      <c r="Y106" s="290" t="str">
        <f t="shared" si="25"/>
        <v>42</v>
      </c>
      <c r="Z106" s="75" t="str">
        <f t="shared" si="24"/>
        <v>424</v>
      </c>
      <c r="AB106" t="s">
        <v>1642</v>
      </c>
      <c r="AC106" t="s">
        <v>1643</v>
      </c>
      <c r="AD106" s="75" t="s">
        <v>5155</v>
      </c>
      <c r="AE106" s="75" t="s">
        <v>5156</v>
      </c>
      <c r="AF106" s="75" t="s">
        <v>5165</v>
      </c>
      <c r="AG106" s="75" t="s">
        <v>5176</v>
      </c>
    </row>
    <row r="107" spans="1:33">
      <c r="A107" s="79" t="str">
        <f>IF(C107="","",VLOOKUP('OPĆI DIO'!$C$3,'OPĆI DIO'!$L$6:$U$138,10,FALSE))</f>
        <v/>
      </c>
      <c r="B107" s="79"/>
      <c r="C107" s="85"/>
      <c r="D107" s="80"/>
      <c r="E107" s="360"/>
      <c r="F107" s="361"/>
      <c r="G107" s="362"/>
      <c r="H107" s="361"/>
      <c r="I107" s="361"/>
      <c r="J107" s="363"/>
      <c r="K107" s="363"/>
      <c r="L107" s="363"/>
      <c r="M107" s="84"/>
      <c r="O107" s="75" t="str">
        <f t="shared" si="17"/>
        <v/>
      </c>
      <c r="P107" s="75" t="str">
        <f t="shared" si="18"/>
        <v/>
      </c>
      <c r="Q107" s="75" t="str">
        <f t="shared" si="19"/>
        <v/>
      </c>
      <c r="R107" s="75" t="str">
        <f t="shared" si="20"/>
        <v/>
      </c>
      <c r="V107" s="75">
        <v>4242</v>
      </c>
      <c r="W107" s="75" t="s">
        <v>139</v>
      </c>
      <c r="Y107" s="290" t="str">
        <f t="shared" si="25"/>
        <v>42</v>
      </c>
      <c r="Z107" s="75" t="str">
        <f t="shared" si="24"/>
        <v>424</v>
      </c>
      <c r="AB107" t="s">
        <v>1940</v>
      </c>
      <c r="AC107" t="s">
        <v>1941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/>
      <c r="C108" s="85"/>
      <c r="D108" s="80"/>
      <c r="E108" s="360"/>
      <c r="F108" s="361"/>
      <c r="G108" s="362"/>
      <c r="H108" s="361"/>
      <c r="I108" s="361"/>
      <c r="J108" s="363"/>
      <c r="K108" s="363"/>
      <c r="L108" s="363"/>
      <c r="M108" s="84"/>
      <c r="O108" s="75" t="str">
        <f t="shared" si="17"/>
        <v/>
      </c>
      <c r="P108" s="75" t="str">
        <f t="shared" si="18"/>
        <v/>
      </c>
      <c r="Q108" s="75" t="str">
        <f t="shared" si="19"/>
        <v/>
      </c>
      <c r="R108" s="75" t="str">
        <f t="shared" si="20"/>
        <v/>
      </c>
      <c r="V108" s="75">
        <v>4244</v>
      </c>
      <c r="W108" s="75" t="s">
        <v>171</v>
      </c>
      <c r="Y108" s="290" t="str">
        <f t="shared" si="25"/>
        <v>42</v>
      </c>
      <c r="Z108" s="75" t="str">
        <f t="shared" si="24"/>
        <v>424</v>
      </c>
      <c r="AB108" t="s">
        <v>1644</v>
      </c>
      <c r="AC108" t="s">
        <v>1645</v>
      </c>
      <c r="AD108" s="75" t="s">
        <v>5141</v>
      </c>
      <c r="AE108" s="75" t="s">
        <v>5142</v>
      </c>
      <c r="AF108" s="75" t="s">
        <v>5167</v>
      </c>
      <c r="AG108" s="75" t="s">
        <v>5168</v>
      </c>
    </row>
    <row r="109" spans="1:33">
      <c r="A109" s="79" t="str">
        <f>IF(C109="","",VLOOKUP('OPĆI DIO'!$C$3,'OPĆI DIO'!$L$6:$U$138,10,FALSE))</f>
        <v/>
      </c>
      <c r="B109" s="79"/>
      <c r="C109" s="85"/>
      <c r="D109" s="80"/>
      <c r="E109" s="360"/>
      <c r="F109" s="361"/>
      <c r="G109" s="362"/>
      <c r="H109" s="361"/>
      <c r="I109" s="361"/>
      <c r="J109" s="363"/>
      <c r="K109" s="363"/>
      <c r="L109" s="363"/>
      <c r="M109" s="84"/>
      <c r="O109" s="75" t="str">
        <f t="shared" si="17"/>
        <v/>
      </c>
      <c r="P109" s="75" t="str">
        <f t="shared" si="18"/>
        <v/>
      </c>
      <c r="Q109" s="75" t="str">
        <f t="shared" si="19"/>
        <v/>
      </c>
      <c r="R109" s="75" t="str">
        <f t="shared" si="20"/>
        <v/>
      </c>
      <c r="V109" s="75">
        <v>4251</v>
      </c>
      <c r="W109" s="75" t="s">
        <v>163</v>
      </c>
      <c r="Y109" s="290" t="str">
        <f t="shared" si="25"/>
        <v>42</v>
      </c>
      <c r="Z109" s="75" t="str">
        <f t="shared" si="24"/>
        <v>425</v>
      </c>
      <c r="AB109" t="s">
        <v>961</v>
      </c>
      <c r="AC109" t="s">
        <v>962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360"/>
      <c r="F110" s="361" t="str">
        <f t="shared" si="14"/>
        <v/>
      </c>
      <c r="G110" s="362"/>
      <c r="H110" s="361" t="str">
        <f t="shared" si="15"/>
        <v/>
      </c>
      <c r="I110" s="361" t="str">
        <f t="shared" si="16"/>
        <v/>
      </c>
      <c r="J110" s="363"/>
      <c r="K110" s="363"/>
      <c r="L110" s="363"/>
      <c r="M110" s="84"/>
      <c r="O110" s="75" t="str">
        <f t="shared" si="17"/>
        <v/>
      </c>
      <c r="P110" s="75" t="str">
        <f t="shared" si="18"/>
        <v/>
      </c>
      <c r="Q110" s="75" t="str">
        <f t="shared" si="19"/>
        <v/>
      </c>
      <c r="R110" s="75" t="str">
        <f t="shared" si="20"/>
        <v/>
      </c>
      <c r="V110" s="75">
        <v>4252</v>
      </c>
      <c r="W110" s="75" t="s">
        <v>164</v>
      </c>
      <c r="Y110" s="290" t="str">
        <f t="shared" si="25"/>
        <v>42</v>
      </c>
      <c r="Z110" s="75" t="str">
        <f t="shared" si="24"/>
        <v>425</v>
      </c>
      <c r="AB110" t="s">
        <v>954</v>
      </c>
      <c r="AC110" t="s">
        <v>955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7"/>
        <v/>
      </c>
      <c r="P111" s="75" t="str">
        <f t="shared" si="18"/>
        <v/>
      </c>
      <c r="Q111" s="75" t="str">
        <f t="shared" si="19"/>
        <v/>
      </c>
      <c r="R111" s="75" t="str">
        <f t="shared" si="20"/>
        <v/>
      </c>
      <c r="V111" s="75">
        <v>4262</v>
      </c>
      <c r="W111" s="75" t="s">
        <v>108</v>
      </c>
      <c r="Y111" s="290" t="str">
        <f t="shared" si="25"/>
        <v>42</v>
      </c>
      <c r="Z111" s="75" t="str">
        <f t="shared" si="24"/>
        <v>426</v>
      </c>
      <c r="AB111" t="s">
        <v>1646</v>
      </c>
      <c r="AC111" t="s">
        <v>1647</v>
      </c>
      <c r="AD111" s="75" t="s">
        <v>5147</v>
      </c>
      <c r="AE111" s="75" t="s">
        <v>5148</v>
      </c>
      <c r="AF111" s="75" t="s">
        <v>5165</v>
      </c>
      <c r="AG111" s="75" t="s">
        <v>5173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7"/>
        <v/>
      </c>
      <c r="P112" s="75" t="str">
        <f t="shared" si="18"/>
        <v/>
      </c>
      <c r="Q112" s="75" t="str">
        <f t="shared" si="19"/>
        <v/>
      </c>
      <c r="R112" s="75" t="str">
        <f t="shared" si="20"/>
        <v/>
      </c>
      <c r="V112" s="75">
        <v>4263</v>
      </c>
      <c r="W112" s="75" t="s">
        <v>165</v>
      </c>
      <c r="Y112" s="290" t="str">
        <f t="shared" si="25"/>
        <v>42</v>
      </c>
      <c r="Z112" s="75" t="str">
        <f t="shared" si="24"/>
        <v>426</v>
      </c>
      <c r="AB112" t="s">
        <v>1700</v>
      </c>
      <c r="AC112" t="s">
        <v>1701</v>
      </c>
      <c r="AD112" s="75" t="s">
        <v>5141</v>
      </c>
      <c r="AE112" s="75" t="s">
        <v>5142</v>
      </c>
      <c r="AF112" s="75" t="s">
        <v>5167</v>
      </c>
      <c r="AG112" s="75" t="s">
        <v>5168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117"/>
      <c r="L113" s="117"/>
      <c r="M113" s="84"/>
      <c r="O113" s="75" t="str">
        <f t="shared" si="17"/>
        <v/>
      </c>
      <c r="P113" s="75" t="str">
        <f t="shared" si="18"/>
        <v/>
      </c>
      <c r="Q113" s="75" t="str">
        <f t="shared" si="19"/>
        <v/>
      </c>
      <c r="R113" s="75" t="str">
        <f t="shared" si="20"/>
        <v/>
      </c>
      <c r="V113" s="75">
        <v>4264</v>
      </c>
      <c r="W113" s="75" t="s">
        <v>120</v>
      </c>
      <c r="Y113" s="290" t="str">
        <f t="shared" si="25"/>
        <v>42</v>
      </c>
      <c r="Z113" s="75" t="str">
        <f t="shared" si="24"/>
        <v>426</v>
      </c>
      <c r="AB113" t="s">
        <v>1942</v>
      </c>
      <c r="AC113" t="s">
        <v>1943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117"/>
      <c r="L114" s="117"/>
      <c r="M114" s="84"/>
      <c r="O114" s="75" t="str">
        <f t="shared" si="17"/>
        <v/>
      </c>
      <c r="P114" s="75" t="str">
        <f t="shared" si="18"/>
        <v/>
      </c>
      <c r="Q114" s="75" t="str">
        <f t="shared" si="19"/>
        <v/>
      </c>
      <c r="R114" s="75" t="str">
        <f t="shared" si="20"/>
        <v/>
      </c>
      <c r="V114" s="75">
        <v>4312</v>
      </c>
      <c r="W114" s="75" t="s">
        <v>122</v>
      </c>
      <c r="Y114" s="290" t="str">
        <f t="shared" si="25"/>
        <v>43</v>
      </c>
      <c r="Z114" s="75" t="str">
        <f t="shared" si="24"/>
        <v>431</v>
      </c>
      <c r="AB114" t="s">
        <v>1944</v>
      </c>
      <c r="AC114" t="s">
        <v>1945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117"/>
      <c r="L115" s="117"/>
      <c r="M115" s="84"/>
      <c r="O115" s="75" t="str">
        <f t="shared" si="17"/>
        <v/>
      </c>
      <c r="P115" s="75" t="str">
        <f t="shared" si="18"/>
        <v/>
      </c>
      <c r="Q115" s="75" t="str">
        <f t="shared" si="19"/>
        <v/>
      </c>
      <c r="R115" s="75" t="str">
        <f t="shared" si="20"/>
        <v/>
      </c>
      <c r="V115" s="75">
        <v>4411</v>
      </c>
      <c r="W115" s="75" t="s">
        <v>166</v>
      </c>
      <c r="Y115" s="290" t="str">
        <f t="shared" si="25"/>
        <v>44</v>
      </c>
      <c r="Z115" s="75" t="str">
        <f t="shared" si="24"/>
        <v>441</v>
      </c>
      <c r="AB115" t="s">
        <v>1946</v>
      </c>
      <c r="AC115" t="s">
        <v>1947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7"/>
        <v/>
      </c>
      <c r="P116" s="75" t="str">
        <f t="shared" si="18"/>
        <v/>
      </c>
      <c r="Q116" s="75" t="str">
        <f t="shared" si="19"/>
        <v/>
      </c>
      <c r="R116" s="75" t="str">
        <f t="shared" si="20"/>
        <v/>
      </c>
      <c r="V116" s="75">
        <v>4511</v>
      </c>
      <c r="W116" s="75" t="s">
        <v>121</v>
      </c>
      <c r="Y116" s="290" t="str">
        <f t="shared" si="25"/>
        <v>45</v>
      </c>
      <c r="Z116" s="75" t="str">
        <f t="shared" si="24"/>
        <v>451</v>
      </c>
      <c r="AB116" t="s">
        <v>1648</v>
      </c>
      <c r="AC116" t="s">
        <v>1649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7"/>
        <v/>
      </c>
      <c r="P117" s="75" t="str">
        <f t="shared" si="18"/>
        <v/>
      </c>
      <c r="Q117" s="75" t="str">
        <f t="shared" si="19"/>
        <v/>
      </c>
      <c r="R117" s="75" t="str">
        <f t="shared" si="20"/>
        <v/>
      </c>
      <c r="V117" s="75">
        <v>4521</v>
      </c>
      <c r="W117" s="75" t="s">
        <v>140</v>
      </c>
      <c r="Y117" s="290" t="str">
        <f t="shared" si="25"/>
        <v>45</v>
      </c>
      <c r="Z117" s="75" t="str">
        <f t="shared" si="24"/>
        <v>452</v>
      </c>
      <c r="AB117" t="s">
        <v>1708</v>
      </c>
      <c r="AC117" t="s">
        <v>1948</v>
      </c>
      <c r="AD117" s="75" t="s">
        <v>5143</v>
      </c>
      <c r="AE117" s="75" t="s">
        <v>5144</v>
      </c>
      <c r="AF117" s="75" t="s">
        <v>5165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7"/>
        <v/>
      </c>
      <c r="P118" s="75" t="str">
        <f t="shared" si="18"/>
        <v/>
      </c>
      <c r="Q118" s="75" t="str">
        <f t="shared" si="19"/>
        <v/>
      </c>
      <c r="R118" s="75" t="str">
        <f t="shared" si="20"/>
        <v/>
      </c>
      <c r="V118" s="75">
        <v>4531</v>
      </c>
      <c r="W118" s="75" t="s">
        <v>183</v>
      </c>
      <c r="Y118" s="290" t="str">
        <f t="shared" si="25"/>
        <v>45</v>
      </c>
      <c r="Z118" s="75" t="str">
        <f t="shared" si="24"/>
        <v>453</v>
      </c>
      <c r="AB118" t="s">
        <v>1949</v>
      </c>
      <c r="AC118" t="s">
        <v>1950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7"/>
        <v/>
      </c>
      <c r="P119" s="75" t="str">
        <f t="shared" si="18"/>
        <v/>
      </c>
      <c r="Q119" s="75" t="str">
        <f t="shared" si="19"/>
        <v/>
      </c>
      <c r="R119" s="75" t="str">
        <f t="shared" si="20"/>
        <v/>
      </c>
      <c r="V119" s="75">
        <v>4541</v>
      </c>
      <c r="W119" s="75" t="s">
        <v>135</v>
      </c>
      <c r="Y119" s="290" t="str">
        <f t="shared" si="25"/>
        <v>45</v>
      </c>
      <c r="Z119" s="75" t="str">
        <f t="shared" si="24"/>
        <v>454</v>
      </c>
      <c r="AB119" t="s">
        <v>3465</v>
      </c>
      <c r="AC119" t="s">
        <v>3466</v>
      </c>
      <c r="AD119" s="75" t="s">
        <v>5141</v>
      </c>
      <c r="AE119" s="75" t="s">
        <v>5142</v>
      </c>
      <c r="AF119" s="75" t="s">
        <v>5167</v>
      </c>
      <c r="AG119" s="75" t="s">
        <v>5168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7"/>
        <v/>
      </c>
      <c r="P120" s="75" t="str">
        <f t="shared" si="18"/>
        <v/>
      </c>
      <c r="Q120" s="75" t="str">
        <f t="shared" si="19"/>
        <v/>
      </c>
      <c r="R120" s="75" t="str">
        <f t="shared" si="20"/>
        <v/>
      </c>
      <c r="V120" s="75">
        <v>5121</v>
      </c>
      <c r="W120" s="75" t="s">
        <v>191</v>
      </c>
      <c r="Y120" s="290" t="str">
        <f t="shared" si="25"/>
        <v>51</v>
      </c>
      <c r="Z120" s="75" t="str">
        <f t="shared" si="24"/>
        <v>512</v>
      </c>
      <c r="AB120" t="s">
        <v>1951</v>
      </c>
      <c r="AC120" t="s">
        <v>1952</v>
      </c>
      <c r="AD120" s="75" t="s">
        <v>5139</v>
      </c>
      <c r="AE120" s="75" t="s">
        <v>5140</v>
      </c>
      <c r="AF120" s="75" t="s">
        <v>5165</v>
      </c>
      <c r="AG120" s="75" t="s">
        <v>5172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7"/>
        <v/>
      </c>
      <c r="P121" s="75" t="str">
        <f t="shared" si="18"/>
        <v/>
      </c>
      <c r="Q121" s="75" t="str">
        <f t="shared" si="19"/>
        <v/>
      </c>
      <c r="R121" s="75" t="str">
        <f t="shared" si="20"/>
        <v/>
      </c>
      <c r="V121" s="75">
        <v>5443</v>
      </c>
      <c r="W121" s="75" t="s">
        <v>167</v>
      </c>
      <c r="Y121" s="290" t="str">
        <f t="shared" si="25"/>
        <v>54</v>
      </c>
      <c r="Z121" s="75" t="str">
        <f t="shared" si="24"/>
        <v>544</v>
      </c>
      <c r="AB121" t="s">
        <v>1650</v>
      </c>
      <c r="AC121" t="s">
        <v>1651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7"/>
        <v/>
      </c>
      <c r="P122" s="75" t="str">
        <f t="shared" si="18"/>
        <v/>
      </c>
      <c r="Q122" s="75" t="str">
        <f t="shared" si="19"/>
        <v/>
      </c>
      <c r="R122" s="75" t="str">
        <f t="shared" si="20"/>
        <v/>
      </c>
      <c r="V122" s="75">
        <v>5121</v>
      </c>
      <c r="W122" s="75" t="s">
        <v>639</v>
      </c>
      <c r="Y122" s="290" t="str">
        <f t="shared" si="25"/>
        <v>51</v>
      </c>
      <c r="Z122" s="75" t="str">
        <f t="shared" ref="Z122:Z132" si="26">LEFT(V122,3)</f>
        <v>512</v>
      </c>
      <c r="AB122" t="s">
        <v>1953</v>
      </c>
      <c r="AC122" t="s">
        <v>1954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7"/>
        <v/>
      </c>
      <c r="P123" s="75" t="str">
        <f t="shared" si="18"/>
        <v/>
      </c>
      <c r="Q123" s="75" t="str">
        <f t="shared" si="19"/>
        <v/>
      </c>
      <c r="R123" s="75" t="str">
        <f t="shared" si="20"/>
        <v/>
      </c>
      <c r="V123" s="75">
        <v>5122</v>
      </c>
      <c r="W123" s="75" t="s">
        <v>640</v>
      </c>
      <c r="Y123" s="290" t="str">
        <f t="shared" si="25"/>
        <v>51</v>
      </c>
      <c r="Z123" s="75" t="str">
        <f t="shared" si="26"/>
        <v>512</v>
      </c>
      <c r="AB123" t="s">
        <v>1955</v>
      </c>
      <c r="AC123" t="s">
        <v>1956</v>
      </c>
      <c r="AD123" s="75" t="s">
        <v>5141</v>
      </c>
      <c r="AE123" s="75" t="s">
        <v>5142</v>
      </c>
      <c r="AF123" s="75" t="s">
        <v>5167</v>
      </c>
      <c r="AG123" s="75" t="s">
        <v>5168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7"/>
        <v/>
      </c>
      <c r="P124" s="75" t="str">
        <f t="shared" si="18"/>
        <v/>
      </c>
      <c r="Q124" s="75" t="str">
        <f t="shared" si="19"/>
        <v/>
      </c>
      <c r="R124" s="75" t="str">
        <f t="shared" si="20"/>
        <v/>
      </c>
      <c r="V124" s="75">
        <v>5141</v>
      </c>
      <c r="W124" s="75" t="s">
        <v>641</v>
      </c>
      <c r="Y124" s="290" t="str">
        <f t="shared" si="25"/>
        <v>51</v>
      </c>
      <c r="Z124" s="75" t="str">
        <f t="shared" si="26"/>
        <v>514</v>
      </c>
      <c r="AB124" t="s">
        <v>1973</v>
      </c>
      <c r="AC124" t="s">
        <v>1974</v>
      </c>
      <c r="AD124" s="75" t="s">
        <v>5139</v>
      </c>
      <c r="AE124" s="75" t="s">
        <v>5140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7"/>
        <v/>
      </c>
      <c r="P125" s="75" t="str">
        <f t="shared" si="18"/>
        <v/>
      </c>
      <c r="Q125" s="75" t="str">
        <f t="shared" si="19"/>
        <v/>
      </c>
      <c r="R125" s="75" t="str">
        <f t="shared" si="20"/>
        <v/>
      </c>
      <c r="V125" s="75">
        <v>5181</v>
      </c>
      <c r="W125" s="75" t="s">
        <v>642</v>
      </c>
      <c r="Y125" s="290" t="str">
        <f t="shared" si="25"/>
        <v>51</v>
      </c>
      <c r="Z125" s="75" t="str">
        <f t="shared" si="26"/>
        <v>518</v>
      </c>
      <c r="AB125" t="s">
        <v>1975</v>
      </c>
      <c r="AC125" t="s">
        <v>1976</v>
      </c>
      <c r="AD125" s="75" t="s">
        <v>5155</v>
      </c>
      <c r="AE125" s="75" t="s">
        <v>5156</v>
      </c>
      <c r="AF125" s="75" t="s">
        <v>5165</v>
      </c>
      <c r="AG125" s="75" t="s">
        <v>5176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7"/>
        <v/>
      </c>
      <c r="P126" s="75" t="str">
        <f t="shared" si="18"/>
        <v/>
      </c>
      <c r="Q126" s="75" t="str">
        <f t="shared" si="19"/>
        <v/>
      </c>
      <c r="R126" s="75" t="str">
        <f t="shared" si="20"/>
        <v/>
      </c>
      <c r="V126" s="75">
        <v>5183</v>
      </c>
      <c r="W126" s="75" t="s">
        <v>643</v>
      </c>
      <c r="Y126" s="290" t="str">
        <f t="shared" si="25"/>
        <v>51</v>
      </c>
      <c r="Z126" s="75" t="str">
        <f t="shared" si="26"/>
        <v>518</v>
      </c>
      <c r="AB126" t="s">
        <v>1977</v>
      </c>
      <c r="AC126" t="s">
        <v>1978</v>
      </c>
      <c r="AD126" s="75" t="s">
        <v>5145</v>
      </c>
      <c r="AE126" s="75" t="s">
        <v>5146</v>
      </c>
      <c r="AF126" s="75" t="s">
        <v>5165</v>
      </c>
      <c r="AG126" s="75" t="s">
        <v>5174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7"/>
        <v/>
      </c>
      <c r="P127" s="75" t="str">
        <f t="shared" si="18"/>
        <v/>
      </c>
      <c r="Q127" s="75" t="str">
        <f t="shared" si="19"/>
        <v/>
      </c>
      <c r="R127" s="75" t="str">
        <f t="shared" si="20"/>
        <v/>
      </c>
      <c r="V127" s="75">
        <v>5422</v>
      </c>
      <c r="W127" s="75" t="s">
        <v>644</v>
      </c>
      <c r="Y127" s="290" t="str">
        <f t="shared" si="25"/>
        <v>54</v>
      </c>
      <c r="Z127" s="75" t="str">
        <f t="shared" si="26"/>
        <v>542</v>
      </c>
      <c r="AB127" t="s">
        <v>1979</v>
      </c>
      <c r="AC127" t="s">
        <v>1980</v>
      </c>
      <c r="AD127" s="75" t="s">
        <v>5151</v>
      </c>
      <c r="AE127" s="75" t="s">
        <v>5152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3"/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7"/>
        <v/>
      </c>
      <c r="P128" s="75" t="str">
        <f t="shared" si="18"/>
        <v/>
      </c>
      <c r="Q128" s="75" t="str">
        <f t="shared" si="19"/>
        <v/>
      </c>
      <c r="R128" s="75" t="str">
        <f t="shared" si="20"/>
        <v/>
      </c>
      <c r="V128" s="75">
        <v>5431</v>
      </c>
      <c r="W128" s="75" t="s">
        <v>264</v>
      </c>
      <c r="Y128" s="290" t="str">
        <f t="shared" si="25"/>
        <v>54</v>
      </c>
      <c r="Z128" s="75" t="str">
        <f t="shared" si="26"/>
        <v>543</v>
      </c>
      <c r="AB128" t="s">
        <v>963</v>
      </c>
      <c r="AC128" t="s">
        <v>1652</v>
      </c>
      <c r="AD128" s="75" t="s">
        <v>5141</v>
      </c>
      <c r="AE128" s="75" t="s">
        <v>5142</v>
      </c>
      <c r="AF128" s="75" t="s">
        <v>5167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3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si="17"/>
        <v/>
      </c>
      <c r="P129" s="75" t="str">
        <f t="shared" si="18"/>
        <v/>
      </c>
      <c r="Q129" s="75" t="str">
        <f t="shared" si="19"/>
        <v/>
      </c>
      <c r="R129" s="75" t="str">
        <f t="shared" si="20"/>
        <v/>
      </c>
      <c r="V129" s="75">
        <v>5443</v>
      </c>
      <c r="W129" s="75" t="s">
        <v>645</v>
      </c>
      <c r="Y129" s="290" t="str">
        <f t="shared" si="25"/>
        <v>54</v>
      </c>
      <c r="Z129" s="75" t="str">
        <f t="shared" si="26"/>
        <v>544</v>
      </c>
      <c r="AB129" t="s">
        <v>1981</v>
      </c>
      <c r="AC129" t="s">
        <v>3467</v>
      </c>
      <c r="AD129" s="75" t="s">
        <v>5143</v>
      </c>
      <c r="AE129" s="75" t="s">
        <v>5144</v>
      </c>
      <c r="AF129" s="75" t="s">
        <v>5165</v>
      </c>
      <c r="AG129" s="75" t="s">
        <v>5175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3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17"/>
        <v/>
      </c>
      <c r="P130" s="75" t="str">
        <f t="shared" si="18"/>
        <v/>
      </c>
      <c r="Q130" s="75" t="str">
        <f t="shared" si="19"/>
        <v/>
      </c>
      <c r="R130" s="75" t="str">
        <f t="shared" si="20"/>
        <v/>
      </c>
      <c r="V130" s="75">
        <v>5445</v>
      </c>
      <c r="W130" s="75" t="s">
        <v>646</v>
      </c>
      <c r="Y130" s="290" t="str">
        <f t="shared" si="25"/>
        <v>54</v>
      </c>
      <c r="Z130" s="75" t="str">
        <f t="shared" si="26"/>
        <v>544</v>
      </c>
      <c r="AB130" t="s">
        <v>1982</v>
      </c>
      <c r="AC130" t="s">
        <v>1983</v>
      </c>
      <c r="AD130" s="75" t="s">
        <v>5139</v>
      </c>
      <c r="AE130" s="75" t="s">
        <v>5140</v>
      </c>
      <c r="AF130" s="75" t="s">
        <v>5165</v>
      </c>
      <c r="AG130" s="75" t="s">
        <v>5172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3"/>
        <v/>
      </c>
      <c r="E131" s="85"/>
      <c r="F131" s="80" t="str">
        <f t="shared" si="14"/>
        <v/>
      </c>
      <c r="G131" s="118"/>
      <c r="H131" s="80" t="str">
        <f t="shared" si="15"/>
        <v/>
      </c>
      <c r="I131" s="80" t="str">
        <f t="shared" si="16"/>
        <v/>
      </c>
      <c r="J131" s="117"/>
      <c r="K131" s="117"/>
      <c r="L131" s="117"/>
      <c r="M131" s="84"/>
      <c r="O131" s="75" t="str">
        <f t="shared" si="17"/>
        <v/>
      </c>
      <c r="P131" s="75" t="str">
        <f t="shared" si="18"/>
        <v/>
      </c>
      <c r="Q131" s="75" t="str">
        <f t="shared" si="19"/>
        <v/>
      </c>
      <c r="R131" s="75" t="str">
        <f t="shared" si="20"/>
        <v/>
      </c>
      <c r="V131" s="75">
        <v>5453</v>
      </c>
      <c r="W131" s="75" t="s">
        <v>647</v>
      </c>
      <c r="Y131" s="290" t="str">
        <f t="shared" si="25"/>
        <v>54</v>
      </c>
      <c r="Z131" s="75" t="str">
        <f t="shared" si="26"/>
        <v>545</v>
      </c>
      <c r="AB131" t="s">
        <v>1984</v>
      </c>
      <c r="AC131" t="s">
        <v>3468</v>
      </c>
      <c r="AD131" s="75" t="s">
        <v>5155</v>
      </c>
      <c r="AE131" s="75" t="s">
        <v>5156</v>
      </c>
      <c r="AF131" s="75" t="s">
        <v>5165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13"/>
        <v/>
      </c>
      <c r="E132" s="85"/>
      <c r="F132" s="80" t="str">
        <f t="shared" si="14"/>
        <v/>
      </c>
      <c r="G132" s="118"/>
      <c r="H132" s="80" t="str">
        <f t="shared" si="15"/>
        <v/>
      </c>
      <c r="I132" s="80" t="str">
        <f t="shared" si="16"/>
        <v/>
      </c>
      <c r="J132" s="117"/>
      <c r="K132" s="117"/>
      <c r="L132" s="117"/>
      <c r="M132" s="84"/>
      <c r="O132" s="75" t="str">
        <f t="shared" si="17"/>
        <v/>
      </c>
      <c r="P132" s="75" t="str">
        <f t="shared" si="18"/>
        <v/>
      </c>
      <c r="Q132" s="75" t="str">
        <f t="shared" si="19"/>
        <v/>
      </c>
      <c r="R132" s="75" t="str">
        <f t="shared" si="20"/>
        <v/>
      </c>
      <c r="V132" s="75">
        <v>5472</v>
      </c>
      <c r="W132" s="75" t="s">
        <v>648</v>
      </c>
      <c r="Y132" s="290" t="str">
        <f t="shared" si="25"/>
        <v>54</v>
      </c>
      <c r="Z132" s="75" t="str">
        <f t="shared" si="26"/>
        <v>547</v>
      </c>
      <c r="AB132" t="s">
        <v>3469</v>
      </c>
      <c r="AC132" t="s">
        <v>3470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13"/>
        <v/>
      </c>
      <c r="E133" s="85"/>
      <c r="F133" s="80" t="str">
        <f t="shared" si="14"/>
        <v/>
      </c>
      <c r="G133" s="118"/>
      <c r="H133" s="80" t="str">
        <f t="shared" si="15"/>
        <v/>
      </c>
      <c r="I133" s="80" t="str">
        <f t="shared" si="16"/>
        <v/>
      </c>
      <c r="J133" s="117"/>
      <c r="K133" s="117"/>
      <c r="L133" s="117"/>
      <c r="M133" s="84"/>
      <c r="O133" s="75" t="str">
        <f t="shared" si="17"/>
        <v/>
      </c>
      <c r="P133" s="75" t="str">
        <f t="shared" si="18"/>
        <v/>
      </c>
      <c r="Q133" s="75" t="str">
        <f t="shared" si="19"/>
        <v/>
      </c>
      <c r="R133" s="75" t="str">
        <f t="shared" si="20"/>
        <v/>
      </c>
      <c r="AB133" t="s">
        <v>1985</v>
      </c>
      <c r="AC133" t="s">
        <v>1986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ref="D134:D197" si="27">IFERROR(VLOOKUP(C134,$S$6:$T$26,2,FALSE),"")</f>
        <v/>
      </c>
      <c r="E134" s="85"/>
      <c r="F134" s="80" t="str">
        <f t="shared" si="14"/>
        <v/>
      </c>
      <c r="G134" s="118"/>
      <c r="H134" s="80" t="str">
        <f t="shared" si="15"/>
        <v/>
      </c>
      <c r="I134" s="80" t="str">
        <f t="shared" si="16"/>
        <v/>
      </c>
      <c r="J134" s="117"/>
      <c r="K134" s="117"/>
      <c r="L134" s="117"/>
      <c r="M134" s="84"/>
      <c r="O134" s="75" t="str">
        <f t="shared" si="17"/>
        <v/>
      </c>
      <c r="P134" s="75" t="str">
        <f t="shared" si="18"/>
        <v/>
      </c>
      <c r="Q134" s="75" t="str">
        <f t="shared" si="19"/>
        <v/>
      </c>
      <c r="R134" s="75" t="str">
        <f t="shared" si="20"/>
        <v/>
      </c>
      <c r="AB134" t="s">
        <v>1987</v>
      </c>
      <c r="AC134" t="s">
        <v>1988</v>
      </c>
      <c r="AD134" s="75" t="s">
        <v>5147</v>
      </c>
      <c r="AE134" s="75" t="s">
        <v>5148</v>
      </c>
      <c r="AF134" s="75" t="s">
        <v>5165</v>
      </c>
      <c r="AG134" s="75" t="s">
        <v>5173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ref="F135:F198" si="28">IFERROR(VLOOKUP(E135,$V$5:$X$132,2,FALSE),"")</f>
        <v/>
      </c>
      <c r="G135" s="118"/>
      <c r="H135" s="80" t="str">
        <f t="shared" ref="H135:H198" si="29">IFERROR(VLOOKUP(G135,$AB$6:$AC$330,2,FALSE),"")</f>
        <v/>
      </c>
      <c r="I135" s="80" t="str">
        <f t="shared" ref="I135:I198" si="30">IFERROR(VLOOKUP(G135,$AB$6:$AF$330,3,FALSE),"")</f>
        <v/>
      </c>
      <c r="J135" s="117"/>
      <c r="K135" s="117"/>
      <c r="L135" s="117"/>
      <c r="M135" s="84"/>
      <c r="O135" s="75" t="str">
        <f t="shared" ref="O135:O198" si="31">LEFT(E135,3)</f>
        <v/>
      </c>
      <c r="P135" s="75" t="str">
        <f t="shared" ref="P135:P198" si="32">LEFT(E135,2)</f>
        <v/>
      </c>
      <c r="Q135" s="75" t="str">
        <f t="shared" ref="Q135:Q198" si="33">LEFT(C135,3)</f>
        <v/>
      </c>
      <c r="R135" s="75" t="str">
        <f t="shared" ref="R135:R198" si="34">MID(I135,2,2)</f>
        <v/>
      </c>
      <c r="AB135" t="s">
        <v>1989</v>
      </c>
      <c r="AC135" t="s">
        <v>1990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9"/>
        <v/>
      </c>
      <c r="I136" s="80" t="str">
        <f t="shared" si="30"/>
        <v/>
      </c>
      <c r="J136" s="117"/>
      <c r="K136" s="117"/>
      <c r="L136" s="117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3471</v>
      </c>
      <c r="AC136" t="s">
        <v>3472</v>
      </c>
      <c r="AD136" s="75" t="s">
        <v>5155</v>
      </c>
      <c r="AE136" s="75" t="s">
        <v>5156</v>
      </c>
      <c r="AF136" s="75" t="s">
        <v>5165</v>
      </c>
      <c r="AG136" s="75" t="s">
        <v>5176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9"/>
        <v/>
      </c>
      <c r="I137" s="80" t="str">
        <f t="shared" si="30"/>
        <v/>
      </c>
      <c r="J137" s="117"/>
      <c r="K137" s="117"/>
      <c r="L137" s="117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1994</v>
      </c>
      <c r="AC137" t="s">
        <v>1995</v>
      </c>
      <c r="AD137" s="75" t="s">
        <v>5155</v>
      </c>
      <c r="AE137" s="75" t="s">
        <v>5156</v>
      </c>
      <c r="AF137" s="75" t="s">
        <v>5165</v>
      </c>
      <c r="AG137" s="75" t="s">
        <v>5176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9"/>
        <v/>
      </c>
      <c r="I138" s="80" t="str">
        <f t="shared" si="30"/>
        <v/>
      </c>
      <c r="J138" s="117"/>
      <c r="K138" s="117"/>
      <c r="L138" s="117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1994</v>
      </c>
      <c r="AC138" t="s">
        <v>1995</v>
      </c>
      <c r="AD138" s="75" t="s">
        <v>5143</v>
      </c>
      <c r="AE138" s="75" t="s">
        <v>5144</v>
      </c>
      <c r="AF138" s="75" t="s">
        <v>5165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9"/>
        <v/>
      </c>
      <c r="I139" s="80" t="str">
        <f t="shared" si="30"/>
        <v/>
      </c>
      <c r="J139" s="117"/>
      <c r="K139" s="117"/>
      <c r="L139" s="117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1996</v>
      </c>
      <c r="AC139" t="s">
        <v>3473</v>
      </c>
      <c r="AD139" s="75" t="s">
        <v>5143</v>
      </c>
      <c r="AE139" s="75" t="s">
        <v>5144</v>
      </c>
      <c r="AF139" s="75" t="s">
        <v>5165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1997</v>
      </c>
      <c r="AC140" t="s">
        <v>3474</v>
      </c>
      <c r="AD140" s="75" t="s">
        <v>5151</v>
      </c>
      <c r="AE140" s="75" t="s">
        <v>5152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3475</v>
      </c>
      <c r="AC141" t="s">
        <v>3476</v>
      </c>
      <c r="AD141" s="75" t="s">
        <v>5141</v>
      </c>
      <c r="AE141" s="75" t="s">
        <v>5142</v>
      </c>
      <c r="AF141" s="75" t="s">
        <v>5167</v>
      </c>
      <c r="AG141" s="75" t="s">
        <v>5168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2000</v>
      </c>
      <c r="AC142" t="s">
        <v>2001</v>
      </c>
      <c r="AD142" s="75" t="s">
        <v>5139</v>
      </c>
      <c r="AE142" s="75" t="s">
        <v>5140</v>
      </c>
      <c r="AF142" s="75" t="s">
        <v>5165</v>
      </c>
      <c r="AG142" s="75" t="s">
        <v>5172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2002</v>
      </c>
      <c r="AC143" t="s">
        <v>2003</v>
      </c>
      <c r="AD143" s="75" t="s">
        <v>5159</v>
      </c>
      <c r="AE143" s="75" t="s">
        <v>5160</v>
      </c>
      <c r="AF143" s="75" t="s">
        <v>5165</v>
      </c>
      <c r="AG143" s="75" t="s">
        <v>5177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2005</v>
      </c>
      <c r="AC144" t="s">
        <v>2006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1653</v>
      </c>
      <c r="AC145" t="s">
        <v>1654</v>
      </c>
      <c r="AD145" s="75" t="s">
        <v>5155</v>
      </c>
      <c r="AE145" s="75" t="s">
        <v>5156</v>
      </c>
      <c r="AF145" s="75" t="s">
        <v>5165</v>
      </c>
      <c r="AG145" s="75" t="s">
        <v>5176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2007</v>
      </c>
      <c r="AC146" t="s">
        <v>1992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2008</v>
      </c>
      <c r="AC147" t="s">
        <v>3477</v>
      </c>
      <c r="AD147" s="75" t="s">
        <v>5139</v>
      </c>
      <c r="AE147" s="75" t="s">
        <v>5140</v>
      </c>
      <c r="AF147" s="75" t="s">
        <v>5165</v>
      </c>
      <c r="AG147" s="75" t="s">
        <v>5172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3478</v>
      </c>
      <c r="AC148" t="s">
        <v>3479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117"/>
      <c r="K149" s="117"/>
      <c r="L149" s="117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3480</v>
      </c>
      <c r="AC149" t="s">
        <v>3481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117"/>
      <c r="K150" s="117"/>
      <c r="L150" s="117"/>
      <c r="M150" s="84"/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956</v>
      </c>
      <c r="AC150" t="s">
        <v>1001</v>
      </c>
      <c r="AD150" s="75" t="s">
        <v>5159</v>
      </c>
      <c r="AE150" s="75" t="s">
        <v>5160</v>
      </c>
      <c r="AF150" s="75" t="s">
        <v>5165</v>
      </c>
      <c r="AG150" s="75" t="s">
        <v>5177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117"/>
      <c r="K151" s="117"/>
      <c r="L151" s="117"/>
      <c r="M151" s="84"/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3482</v>
      </c>
      <c r="AC151" t="s">
        <v>3483</v>
      </c>
      <c r="AD151" s="75" t="s">
        <v>5143</v>
      </c>
      <c r="AE151" s="75" t="s">
        <v>5144</v>
      </c>
      <c r="AF151" s="75" t="s">
        <v>5165</v>
      </c>
      <c r="AG151" s="75" t="s">
        <v>5175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48</v>
      </c>
      <c r="AC152" t="s">
        <v>49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6">
        <f>SUM(J3:J147)</f>
        <v>5810452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58</v>
      </c>
      <c r="AC153" t="s">
        <v>59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6">
        <f>SUM('Unos rashoda P4'!H3:H102)</f>
        <v>0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61</v>
      </c>
      <c r="AC154" t="s">
        <v>62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N155" s="326">
        <f>+N154+N153</f>
        <v>5810452</v>
      </c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63</v>
      </c>
      <c r="AC155" t="s">
        <v>64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313"/>
      <c r="K156" s="313"/>
      <c r="L156" s="313"/>
      <c r="M156" s="84"/>
      <c r="N156" s="326">
        <f>+J149+'Unos rashoda P4'!H105</f>
        <v>0</v>
      </c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t="s">
        <v>674</v>
      </c>
      <c r="AC156" t="s">
        <v>675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313"/>
      <c r="K157" s="313"/>
      <c r="L157" s="313"/>
      <c r="M157" s="84"/>
      <c r="N157" s="326">
        <f>+N155+N156</f>
        <v>5810452</v>
      </c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t="s">
        <v>68</v>
      </c>
      <c r="AC157" t="s">
        <v>69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313"/>
      <c r="K158" s="313"/>
      <c r="L158" s="313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t="s">
        <v>70</v>
      </c>
      <c r="AC158" t="s">
        <v>71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72</v>
      </c>
      <c r="AC159" s="75" t="s">
        <v>73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N160" s="326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75</v>
      </c>
      <c r="AC160" s="75" t="s">
        <v>76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678</v>
      </c>
      <c r="AC161" s="75" t="s">
        <v>679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N162" s="326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1873</v>
      </c>
      <c r="AC162" s="75" t="s">
        <v>933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934</v>
      </c>
      <c r="AC163" s="75" t="s">
        <v>935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680</v>
      </c>
      <c r="AC164" s="75" t="s">
        <v>681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672</v>
      </c>
      <c r="AC165" s="75" t="s">
        <v>673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92</v>
      </c>
      <c r="AC166" s="75" t="s">
        <v>1737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117</v>
      </c>
      <c r="AC167" s="75" t="s">
        <v>1738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1908</v>
      </c>
      <c r="AC168" s="75" t="s">
        <v>1909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124</v>
      </c>
      <c r="AC169" s="75" t="s">
        <v>1739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130</v>
      </c>
      <c r="AC170" s="75" t="s">
        <v>1740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132</v>
      </c>
      <c r="AC171" s="75" t="s">
        <v>1741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134</v>
      </c>
      <c r="AC172" s="75" t="s">
        <v>1910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138</v>
      </c>
      <c r="AC173" s="75" t="s">
        <v>1911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1655</v>
      </c>
      <c r="AC174" s="75" t="s">
        <v>1656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142</v>
      </c>
      <c r="AC175" s="75" t="s">
        <v>143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142</v>
      </c>
      <c r="AC176" s="75" t="s">
        <v>143</v>
      </c>
      <c r="AD176" s="75" t="s">
        <v>5157</v>
      </c>
      <c r="AE176" s="75" t="s">
        <v>5158</v>
      </c>
      <c r="AF176" s="75" t="s">
        <v>5165</v>
      </c>
      <c r="AG176" s="75" t="s">
        <v>5178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144</v>
      </c>
      <c r="AC177" s="75" t="s">
        <v>1742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145</v>
      </c>
      <c r="AC178" s="75" t="s">
        <v>1234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174</v>
      </c>
      <c r="AC179" s="75" t="s">
        <v>1235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177</v>
      </c>
      <c r="AC180" s="75" t="s">
        <v>1236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180</v>
      </c>
      <c r="AC181" s="75" t="s">
        <v>1237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184</v>
      </c>
      <c r="AC182" s="75" t="s">
        <v>1238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185</v>
      </c>
      <c r="AC183" s="75" t="s">
        <v>1239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187</v>
      </c>
      <c r="AC184" s="75" t="s">
        <v>1240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193</v>
      </c>
      <c r="AC185" s="75" t="s">
        <v>1241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194</v>
      </c>
      <c r="AC186" s="75" t="s">
        <v>1242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1912</v>
      </c>
      <c r="AC187" s="75" t="s">
        <v>1913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670</v>
      </c>
      <c r="AC188" s="75" t="s">
        <v>671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1657</v>
      </c>
      <c r="AC189" s="75" t="s">
        <v>1914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1744</v>
      </c>
      <c r="AC190" s="75" t="s">
        <v>1915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1916</v>
      </c>
      <c r="AC191" s="75" t="s">
        <v>1917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1918</v>
      </c>
      <c r="AC192" s="75" t="s">
        <v>1919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3484</v>
      </c>
      <c r="AC193" s="75" t="s">
        <v>3485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676</v>
      </c>
      <c r="AC194" s="75" t="s">
        <v>677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7"/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233</v>
      </c>
      <c r="AC195" s="75" t="s">
        <v>1652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27"/>
        <v/>
      </c>
      <c r="E196" s="85"/>
      <c r="F196" s="80" t="str">
        <f t="shared" si="28"/>
        <v/>
      </c>
      <c r="G196" s="118"/>
      <c r="H196" s="80" t="str">
        <f t="shared" si="29"/>
        <v/>
      </c>
      <c r="I196" s="80" t="str">
        <f t="shared" si="30"/>
        <v/>
      </c>
      <c r="J196" s="117"/>
      <c r="K196" s="117"/>
      <c r="L196" s="117"/>
      <c r="M196" s="84"/>
      <c r="O196" s="75" t="str">
        <f t="shared" si="31"/>
        <v/>
      </c>
      <c r="P196" s="75" t="str">
        <f t="shared" si="32"/>
        <v/>
      </c>
      <c r="Q196" s="75" t="str">
        <f t="shared" si="33"/>
        <v/>
      </c>
      <c r="R196" s="75" t="str">
        <f t="shared" si="34"/>
        <v/>
      </c>
      <c r="AB196" s="75" t="s">
        <v>683</v>
      </c>
      <c r="AC196" s="75" t="s">
        <v>684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27"/>
        <v/>
      </c>
      <c r="E197" s="85"/>
      <c r="F197" s="80" t="str">
        <f t="shared" si="28"/>
        <v/>
      </c>
      <c r="G197" s="118"/>
      <c r="H197" s="80" t="str">
        <f t="shared" si="29"/>
        <v/>
      </c>
      <c r="I197" s="80" t="str">
        <f t="shared" si="30"/>
        <v/>
      </c>
      <c r="J197" s="117"/>
      <c r="K197" s="117"/>
      <c r="L197" s="117"/>
      <c r="M197" s="84"/>
      <c r="O197" s="75" t="str">
        <f t="shared" si="31"/>
        <v/>
      </c>
      <c r="P197" s="75" t="str">
        <f t="shared" si="32"/>
        <v/>
      </c>
      <c r="Q197" s="75" t="str">
        <f t="shared" si="33"/>
        <v/>
      </c>
      <c r="R197" s="75" t="str">
        <f t="shared" si="34"/>
        <v/>
      </c>
      <c r="AB197" s="75" t="s">
        <v>1998</v>
      </c>
      <c r="AC197" s="75" t="s">
        <v>1992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ref="D198:D261" si="35">IFERROR(VLOOKUP(C198,$S$6:$T$26,2,FALSE),"")</f>
        <v/>
      </c>
      <c r="E198" s="85"/>
      <c r="F198" s="80" t="str">
        <f t="shared" si="28"/>
        <v/>
      </c>
      <c r="G198" s="118"/>
      <c r="H198" s="80" t="str">
        <f t="shared" si="29"/>
        <v/>
      </c>
      <c r="I198" s="80" t="str">
        <f t="shared" si="30"/>
        <v/>
      </c>
      <c r="J198" s="117"/>
      <c r="K198" s="117"/>
      <c r="L198" s="117"/>
      <c r="M198" s="84"/>
      <c r="O198" s="75" t="str">
        <f t="shared" si="31"/>
        <v/>
      </c>
      <c r="P198" s="75" t="str">
        <f t="shared" si="32"/>
        <v/>
      </c>
      <c r="Q198" s="75" t="str">
        <f t="shared" si="33"/>
        <v/>
      </c>
      <c r="R198" s="75" t="str">
        <f t="shared" si="34"/>
        <v/>
      </c>
      <c r="AB198" s="75" t="s">
        <v>1999</v>
      </c>
      <c r="AC198" s="75" t="s">
        <v>3473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ref="F199:F262" si="36">IFERROR(VLOOKUP(E199,$V$5:$X$132,2,FALSE),"")</f>
        <v/>
      </c>
      <c r="G199" s="118"/>
      <c r="H199" s="80" t="str">
        <f t="shared" ref="H199:H262" si="37">IFERROR(VLOOKUP(G199,$AB$6:$AC$330,2,FALSE),"")</f>
        <v/>
      </c>
      <c r="I199" s="80" t="str">
        <f t="shared" ref="I199:I262" si="38">IFERROR(VLOOKUP(G199,$AB$6:$AF$330,3,FALSE),"")</f>
        <v/>
      </c>
      <c r="J199" s="117"/>
      <c r="K199" s="117"/>
      <c r="L199" s="117"/>
      <c r="M199" s="84"/>
      <c r="O199" s="75" t="str">
        <f t="shared" ref="O199:O262" si="39">LEFT(E199,3)</f>
        <v/>
      </c>
      <c r="P199" s="75" t="str">
        <f t="shared" ref="P199:P262" si="40">LEFT(E199,2)</f>
        <v/>
      </c>
      <c r="Q199" s="75" t="str">
        <f t="shared" ref="Q199:Q262" si="41">LEFT(C199,3)</f>
        <v/>
      </c>
      <c r="R199" s="75" t="str">
        <f t="shared" ref="R199:R262" si="42">MID(I199,2,2)</f>
        <v/>
      </c>
      <c r="AB199" s="75" t="s">
        <v>3486</v>
      </c>
      <c r="AC199" s="75" t="s">
        <v>3487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687</v>
      </c>
      <c r="AC200" s="75" t="s">
        <v>688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689</v>
      </c>
      <c r="AC201" s="75" t="s">
        <v>690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937</v>
      </c>
      <c r="AC202" s="75" t="s">
        <v>938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691</v>
      </c>
      <c r="AC203" s="75" t="s">
        <v>692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939</v>
      </c>
      <c r="AC204" s="75" t="s">
        <v>933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693</v>
      </c>
      <c r="AC205" s="75" t="s">
        <v>1743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694</v>
      </c>
      <c r="AC206" s="75" t="s">
        <v>1243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695</v>
      </c>
      <c r="AC207" s="75" t="s">
        <v>696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697</v>
      </c>
      <c r="AC208" s="75" t="s">
        <v>682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1991</v>
      </c>
      <c r="AC209" s="75" t="s">
        <v>1992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1993</v>
      </c>
      <c r="AC210" s="75" t="s">
        <v>3473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3488</v>
      </c>
      <c r="AC211" s="75" t="s">
        <v>3489</v>
      </c>
      <c r="AD211" s="75" t="s">
        <v>5141</v>
      </c>
      <c r="AE211" s="75" t="s">
        <v>5142</v>
      </c>
      <c r="AF211" s="75" t="s">
        <v>5167</v>
      </c>
      <c r="AG211" s="75" t="s">
        <v>5168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966</v>
      </c>
      <c r="AC212" s="75" t="s">
        <v>967</v>
      </c>
      <c r="AD212" s="75" t="s">
        <v>5141</v>
      </c>
      <c r="AE212" s="75" t="s">
        <v>5142</v>
      </c>
      <c r="AF212" s="75" t="s">
        <v>5167</v>
      </c>
      <c r="AG212" s="75" t="s">
        <v>5168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968</v>
      </c>
      <c r="AC213" s="75" t="s">
        <v>3490</v>
      </c>
      <c r="AD213" s="75" t="s">
        <v>5141</v>
      </c>
      <c r="AE213" s="75" t="s">
        <v>5142</v>
      </c>
      <c r="AF213" s="75" t="s">
        <v>5167</v>
      </c>
      <c r="AG213" s="75" t="s">
        <v>5168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971</v>
      </c>
      <c r="AC214" s="75" t="s">
        <v>972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973</v>
      </c>
      <c r="AC215" s="75" t="s">
        <v>974</v>
      </c>
      <c r="AD215" s="75" t="s">
        <v>5149</v>
      </c>
      <c r="AE215" s="75" t="s">
        <v>5150</v>
      </c>
      <c r="AF215" s="75" t="s">
        <v>5166</v>
      </c>
      <c r="AG215" s="75" t="s">
        <v>5171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975</v>
      </c>
      <c r="AC216" s="75" t="s">
        <v>1244</v>
      </c>
      <c r="AD216" s="75" t="s">
        <v>5149</v>
      </c>
      <c r="AE216" s="75" t="s">
        <v>5150</v>
      </c>
      <c r="AF216" s="75" t="s">
        <v>5166</v>
      </c>
      <c r="AG216" s="75" t="s">
        <v>5171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976</v>
      </c>
      <c r="AC217" s="75" t="s">
        <v>977</v>
      </c>
      <c r="AD217" s="75" t="s">
        <v>5149</v>
      </c>
      <c r="AE217" s="75" t="s">
        <v>5150</v>
      </c>
      <c r="AF217" s="75" t="s">
        <v>5166</v>
      </c>
      <c r="AG217" s="75" t="s">
        <v>5171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980</v>
      </c>
      <c r="AC218" s="75" t="s">
        <v>981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982</v>
      </c>
      <c r="AC219" s="75" t="s">
        <v>983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984</v>
      </c>
      <c r="AC220" s="75" t="s">
        <v>985</v>
      </c>
      <c r="AD220" s="75" t="s">
        <v>5163</v>
      </c>
      <c r="AE220" s="75" t="s">
        <v>5164</v>
      </c>
      <c r="AF220" s="75" t="s">
        <v>5169</v>
      </c>
      <c r="AG220" s="75" t="s">
        <v>5170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986</v>
      </c>
      <c r="AC221" s="75" t="s">
        <v>987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988</v>
      </c>
      <c r="AC222" s="75" t="s">
        <v>989</v>
      </c>
      <c r="AD222" s="75" t="s">
        <v>5161</v>
      </c>
      <c r="AE222" s="75" t="s">
        <v>5162</v>
      </c>
      <c r="AF222" s="75" t="s">
        <v>5167</v>
      </c>
      <c r="AG222" s="75" t="s">
        <v>5179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990</v>
      </c>
      <c r="AC223" s="75" t="s">
        <v>991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992</v>
      </c>
      <c r="AC224" s="75" t="s">
        <v>993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992</v>
      </c>
      <c r="AC225" s="75" t="s">
        <v>993</v>
      </c>
      <c r="AD225" s="75" t="s">
        <v>5143</v>
      </c>
      <c r="AE225" s="75" t="s">
        <v>5144</v>
      </c>
      <c r="AF225" s="75" t="s">
        <v>5165</v>
      </c>
      <c r="AG225" s="75" t="s">
        <v>5175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1658</v>
      </c>
      <c r="AC226" s="75" t="s">
        <v>1659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3491</v>
      </c>
      <c r="AC227" s="75" t="s">
        <v>3492</v>
      </c>
      <c r="AD227" s="75" t="s">
        <v>5161</v>
      </c>
      <c r="AE227" s="75" t="s">
        <v>5162</v>
      </c>
      <c r="AF227" s="75" t="s">
        <v>5167</v>
      </c>
      <c r="AG227" s="75" t="s">
        <v>5179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994</v>
      </c>
      <c r="AC228" s="75" t="s">
        <v>995</v>
      </c>
      <c r="AD228" s="75" t="s">
        <v>5161</v>
      </c>
      <c r="AE228" s="75" t="s">
        <v>5162</v>
      </c>
      <c r="AF228" s="75" t="s">
        <v>5167</v>
      </c>
      <c r="AG228" s="75" t="s">
        <v>5179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996</v>
      </c>
      <c r="AC229" s="75" t="s">
        <v>997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998</v>
      </c>
      <c r="AC230" s="75" t="s">
        <v>999</v>
      </c>
      <c r="AD230" s="75" t="s">
        <v>5143</v>
      </c>
      <c r="AE230" s="75" t="s">
        <v>5144</v>
      </c>
      <c r="AF230" s="75" t="s">
        <v>5165</v>
      </c>
      <c r="AG230" s="75" t="s">
        <v>5175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1000</v>
      </c>
      <c r="AC231" s="75" t="s">
        <v>1001</v>
      </c>
      <c r="AD231" s="75" t="s">
        <v>5143</v>
      </c>
      <c r="AE231" s="75" t="s">
        <v>5144</v>
      </c>
      <c r="AF231" s="75" t="s">
        <v>5165</v>
      </c>
      <c r="AG231" s="75" t="s">
        <v>5175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3493</v>
      </c>
      <c r="AC232" s="75" t="s">
        <v>3494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1004</v>
      </c>
      <c r="AC233" s="75" t="s">
        <v>1005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1006</v>
      </c>
      <c r="AC234" s="75" t="s">
        <v>1246</v>
      </c>
      <c r="AD234" s="75" t="s">
        <v>5141</v>
      </c>
      <c r="AE234" s="75" t="s">
        <v>5142</v>
      </c>
      <c r="AF234" s="75" t="s">
        <v>5167</v>
      </c>
      <c r="AG234" s="75" t="s">
        <v>5168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1009</v>
      </c>
      <c r="AC235" s="75" t="s">
        <v>1010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1011</v>
      </c>
      <c r="AC236" s="75" t="s">
        <v>1245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1012</v>
      </c>
      <c r="AC237" s="75" t="s">
        <v>1013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1014</v>
      </c>
      <c r="AC238" s="75" t="s">
        <v>1247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1015</v>
      </c>
      <c r="AC239" s="75" t="s">
        <v>1016</v>
      </c>
      <c r="AD239" s="75" t="s">
        <v>5161</v>
      </c>
      <c r="AE239" s="75" t="s">
        <v>5162</v>
      </c>
      <c r="AF239" s="75" t="s">
        <v>5167</v>
      </c>
      <c r="AG239" s="75" t="s">
        <v>5179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3495</v>
      </c>
      <c r="AC240" s="75" t="s">
        <v>3496</v>
      </c>
      <c r="AD240" s="75" t="s">
        <v>5161</v>
      </c>
      <c r="AE240" s="75" t="s">
        <v>5162</v>
      </c>
      <c r="AF240" s="75" t="s">
        <v>5167</v>
      </c>
      <c r="AG240" s="75" t="s">
        <v>5179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1019</v>
      </c>
      <c r="AC241" s="75" t="s">
        <v>1020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1021</v>
      </c>
      <c r="AC242" s="75" t="s">
        <v>1022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1023</v>
      </c>
      <c r="AC243" s="75" t="s">
        <v>1024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1025</v>
      </c>
      <c r="AC244" s="75" t="s">
        <v>1026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1660</v>
      </c>
      <c r="AC245" s="75" t="s">
        <v>1661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1027</v>
      </c>
      <c r="AC246" s="75" t="s">
        <v>1028</v>
      </c>
      <c r="AD246" s="75" t="s">
        <v>5143</v>
      </c>
      <c r="AE246" s="75" t="s">
        <v>5144</v>
      </c>
      <c r="AF246" s="75" t="s">
        <v>5165</v>
      </c>
      <c r="AG246" s="75" t="s">
        <v>5175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2004</v>
      </c>
      <c r="AC247" s="75" t="s">
        <v>3497</v>
      </c>
      <c r="AD247" s="75" t="s">
        <v>5143</v>
      </c>
      <c r="AE247" s="75" t="s">
        <v>5144</v>
      </c>
      <c r="AF247" s="75" t="s">
        <v>5165</v>
      </c>
      <c r="AG247" s="75" t="s">
        <v>5175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1662</v>
      </c>
      <c r="AC248" s="75" t="s">
        <v>684</v>
      </c>
      <c r="AD248" s="75" t="s">
        <v>5143</v>
      </c>
      <c r="AE248" s="75" t="s">
        <v>5144</v>
      </c>
      <c r="AF248" s="75" t="s">
        <v>5165</v>
      </c>
      <c r="AG248" s="75" t="s">
        <v>5175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1031</v>
      </c>
      <c r="AC249" s="75" t="s">
        <v>1032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1033</v>
      </c>
      <c r="AC250" s="75" t="s">
        <v>1034</v>
      </c>
      <c r="AD250" s="75" t="s">
        <v>5141</v>
      </c>
      <c r="AE250" s="75" t="s">
        <v>5142</v>
      </c>
      <c r="AF250" s="75" t="s">
        <v>5167</v>
      </c>
      <c r="AG250" s="75" t="s">
        <v>5168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1033</v>
      </c>
      <c r="AC251" s="75" t="s">
        <v>1034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1035</v>
      </c>
      <c r="AC252" s="75" t="s">
        <v>1036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1037</v>
      </c>
      <c r="AC253" s="75" t="s">
        <v>1038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1039</v>
      </c>
      <c r="AC254" s="75" t="s">
        <v>1040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1041</v>
      </c>
      <c r="AC255" s="75" t="s">
        <v>1042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1043</v>
      </c>
      <c r="AC256" s="75" t="s">
        <v>1044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1045</v>
      </c>
      <c r="AC257" s="75" t="s">
        <v>1046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1047</v>
      </c>
      <c r="AC258" s="75" t="s">
        <v>1048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5"/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1049</v>
      </c>
      <c r="AC259" s="75" t="s">
        <v>1050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35"/>
        <v/>
      </c>
      <c r="E260" s="85"/>
      <c r="F260" s="80" t="str">
        <f t="shared" si="36"/>
        <v/>
      </c>
      <c r="G260" s="118"/>
      <c r="H260" s="80" t="str">
        <f t="shared" si="37"/>
        <v/>
      </c>
      <c r="I260" s="80" t="str">
        <f t="shared" si="38"/>
        <v/>
      </c>
      <c r="J260" s="117"/>
      <c r="K260" s="117"/>
      <c r="L260" s="117"/>
      <c r="M260" s="84"/>
      <c r="O260" s="75" t="str">
        <f t="shared" si="39"/>
        <v/>
      </c>
      <c r="P260" s="75" t="str">
        <f t="shared" si="40"/>
        <v/>
      </c>
      <c r="Q260" s="75" t="str">
        <f t="shared" si="41"/>
        <v/>
      </c>
      <c r="R260" s="75" t="str">
        <f t="shared" si="42"/>
        <v/>
      </c>
      <c r="AB260" s="75" t="s">
        <v>1051</v>
      </c>
      <c r="AC260" s="75" t="s">
        <v>1052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35"/>
        <v/>
      </c>
      <c r="E261" s="85"/>
      <c r="F261" s="80" t="str">
        <f t="shared" si="36"/>
        <v/>
      </c>
      <c r="G261" s="118"/>
      <c r="H261" s="80" t="str">
        <f t="shared" si="37"/>
        <v/>
      </c>
      <c r="I261" s="80" t="str">
        <f t="shared" si="38"/>
        <v/>
      </c>
      <c r="J261" s="117"/>
      <c r="K261" s="117"/>
      <c r="L261" s="117"/>
      <c r="M261" s="84"/>
      <c r="O261" s="75" t="str">
        <f t="shared" si="39"/>
        <v/>
      </c>
      <c r="P261" s="75" t="str">
        <f t="shared" si="40"/>
        <v/>
      </c>
      <c r="Q261" s="75" t="str">
        <f t="shared" si="41"/>
        <v/>
      </c>
      <c r="R261" s="75" t="str">
        <f t="shared" si="42"/>
        <v/>
      </c>
      <c r="AB261" s="75" t="s">
        <v>1053</v>
      </c>
      <c r="AC261" s="75" t="s">
        <v>1054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ref="D262:D325" si="43">IFERROR(VLOOKUP(C262,$S$6:$T$26,2,FALSE),"")</f>
        <v/>
      </c>
      <c r="E262" s="85"/>
      <c r="F262" s="80" t="str">
        <f t="shared" si="36"/>
        <v/>
      </c>
      <c r="G262" s="118"/>
      <c r="H262" s="80" t="str">
        <f t="shared" si="37"/>
        <v/>
      </c>
      <c r="I262" s="80" t="str">
        <f t="shared" si="38"/>
        <v/>
      </c>
      <c r="J262" s="117"/>
      <c r="K262" s="117"/>
      <c r="L262" s="117"/>
      <c r="M262" s="84"/>
      <c r="O262" s="75" t="str">
        <f t="shared" si="39"/>
        <v/>
      </c>
      <c r="P262" s="75" t="str">
        <f t="shared" si="40"/>
        <v/>
      </c>
      <c r="Q262" s="75" t="str">
        <f t="shared" si="41"/>
        <v/>
      </c>
      <c r="R262" s="75" t="str">
        <f t="shared" si="42"/>
        <v/>
      </c>
      <c r="AB262" s="75" t="s">
        <v>1055</v>
      </c>
      <c r="AC262" s="75" t="s">
        <v>1056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ref="F263:F326" si="44">IFERROR(VLOOKUP(E263,$V$5:$X$132,2,FALSE),"")</f>
        <v/>
      </c>
      <c r="G263" s="118"/>
      <c r="H263" s="80" t="str">
        <f t="shared" ref="H263:H326" si="45">IFERROR(VLOOKUP(G263,$AB$6:$AC$330,2,FALSE),"")</f>
        <v/>
      </c>
      <c r="I263" s="80" t="str">
        <f t="shared" ref="I263:I326" si="46">IFERROR(VLOOKUP(G263,$AB$6:$AF$330,3,FALSE),"")</f>
        <v/>
      </c>
      <c r="J263" s="117"/>
      <c r="K263" s="117"/>
      <c r="L263" s="117"/>
      <c r="M263" s="84"/>
      <c r="O263" s="75" t="str">
        <f t="shared" ref="O263:O326" si="47">LEFT(E263,3)</f>
        <v/>
      </c>
      <c r="P263" s="75" t="str">
        <f t="shared" ref="P263:P326" si="48">LEFT(E263,2)</f>
        <v/>
      </c>
      <c r="Q263" s="75" t="str">
        <f t="shared" ref="Q263:Q326" si="49">LEFT(C263,3)</f>
        <v/>
      </c>
      <c r="R263" s="75" t="str">
        <f t="shared" ref="R263:R326" si="50">MID(I263,2,2)</f>
        <v/>
      </c>
      <c r="AB263" s="75" t="s">
        <v>1663</v>
      </c>
      <c r="AC263" s="75" t="s">
        <v>1664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1969</v>
      </c>
      <c r="AC264" s="75" t="s">
        <v>1970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3498</v>
      </c>
      <c r="AC265" s="75" t="s">
        <v>3499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3500</v>
      </c>
      <c r="AC266" s="75" t="s">
        <v>3501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1971</v>
      </c>
      <c r="AC267" s="75" t="s">
        <v>1972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1057</v>
      </c>
      <c r="AC268" s="75" t="s">
        <v>1058</v>
      </c>
      <c r="AD268" s="75" t="s">
        <v>5147</v>
      </c>
      <c r="AE268" s="75" t="s">
        <v>5148</v>
      </c>
      <c r="AF268" s="75" t="s">
        <v>5165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1059</v>
      </c>
      <c r="AC269" s="75" t="s">
        <v>1060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1061</v>
      </c>
      <c r="AC270" s="75" t="s">
        <v>684</v>
      </c>
      <c r="AD270" s="75" t="s">
        <v>5147</v>
      </c>
      <c r="AE270" s="75" t="s">
        <v>5148</v>
      </c>
      <c r="AF270" s="75" t="s">
        <v>5165</v>
      </c>
      <c r="AG270" s="75" t="s">
        <v>5173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1064</v>
      </c>
      <c r="AC271" s="75" t="s">
        <v>1065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1066</v>
      </c>
      <c r="AC272" s="75" t="s">
        <v>1665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1067</v>
      </c>
      <c r="AC273" s="75" t="s">
        <v>1068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3502</v>
      </c>
      <c r="AC274" s="75" t="s">
        <v>3503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1069</v>
      </c>
      <c r="AC275" s="75" t="s">
        <v>1070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2009</v>
      </c>
      <c r="AC276" s="75" t="s">
        <v>2010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2011</v>
      </c>
      <c r="AC277" s="75" t="s">
        <v>3504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1073</v>
      </c>
      <c r="AC278" s="75" t="s">
        <v>1074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1075</v>
      </c>
      <c r="AC279" s="75" t="s">
        <v>1076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1077</v>
      </c>
      <c r="AC280" s="75" t="s">
        <v>1078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1079</v>
      </c>
      <c r="AC281" s="75" t="s">
        <v>1080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1081</v>
      </c>
      <c r="AC282" s="75" t="s">
        <v>1082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1083</v>
      </c>
      <c r="AC283" s="75" t="s">
        <v>1084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1085</v>
      </c>
      <c r="AC284" s="75" t="s">
        <v>1086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1087</v>
      </c>
      <c r="AC285" s="75" t="s">
        <v>1088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1089</v>
      </c>
      <c r="AC286" s="75" t="s">
        <v>1090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1091</v>
      </c>
      <c r="AC287" s="75" t="s">
        <v>3505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1092</v>
      </c>
      <c r="AC288" s="75" t="s">
        <v>1666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1093</v>
      </c>
      <c r="AC289" s="75" t="s">
        <v>1667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1094</v>
      </c>
      <c r="AC290" s="75" t="s">
        <v>1668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1095</v>
      </c>
      <c r="AC291" s="75" t="s">
        <v>1096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1097</v>
      </c>
      <c r="AC292" s="75" t="s">
        <v>1669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1098</v>
      </c>
      <c r="AC293" s="75" t="s">
        <v>1670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1099</v>
      </c>
      <c r="AC294" s="75" t="s">
        <v>1100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1101</v>
      </c>
      <c r="AC295" s="75" t="s">
        <v>1102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1957</v>
      </c>
      <c r="AC296" s="75" t="s">
        <v>1958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1959</v>
      </c>
      <c r="AC297" s="75" t="s">
        <v>1960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1961</v>
      </c>
      <c r="AC298" s="75" t="s">
        <v>1962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3506</v>
      </c>
      <c r="AC299" s="75" t="s">
        <v>3507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3508</v>
      </c>
      <c r="AC300" s="75" t="s">
        <v>3509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1105</v>
      </c>
      <c r="AC301" s="75" t="s">
        <v>1106</v>
      </c>
      <c r="AD301" s="75" t="s">
        <v>5159</v>
      </c>
      <c r="AE301" s="75" t="s">
        <v>5160</v>
      </c>
      <c r="AF301" s="75" t="s">
        <v>5165</v>
      </c>
      <c r="AG301" s="75" t="s">
        <v>5177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1105</v>
      </c>
      <c r="AC302" s="75" t="s">
        <v>1106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1107</v>
      </c>
      <c r="AC303" s="75" t="s">
        <v>1108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1109</v>
      </c>
      <c r="AC304" s="75" t="s">
        <v>1110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1111</v>
      </c>
      <c r="AC305" s="75" t="s">
        <v>1112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1113</v>
      </c>
      <c r="AC306" s="75" t="s">
        <v>1114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1115</v>
      </c>
      <c r="AC307" s="75" t="s">
        <v>1116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1117</v>
      </c>
      <c r="AC308" s="75" t="s">
        <v>1118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1119</v>
      </c>
      <c r="AC309" s="75" t="s">
        <v>1120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1121</v>
      </c>
      <c r="AC310" s="75" t="s">
        <v>1122</v>
      </c>
      <c r="AD310" s="75" t="s">
        <v>5159</v>
      </c>
      <c r="AE310" s="75" t="s">
        <v>5160</v>
      </c>
      <c r="AF310" s="75" t="s">
        <v>5165</v>
      </c>
      <c r="AG310" s="75" t="s">
        <v>5177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1121</v>
      </c>
      <c r="AC311" s="75" t="s">
        <v>1122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1123</v>
      </c>
      <c r="AC312" s="75" t="s">
        <v>1124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1125</v>
      </c>
      <c r="AC313" s="75" t="s">
        <v>1126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1963</v>
      </c>
      <c r="AC314" s="75" t="s">
        <v>1964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1965</v>
      </c>
      <c r="AC315" s="75" t="s">
        <v>1966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1967</v>
      </c>
      <c r="AC316" s="75" t="s">
        <v>1968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3510</v>
      </c>
      <c r="AC317" s="75" t="s">
        <v>3511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1127</v>
      </c>
      <c r="AC318" s="75" t="s">
        <v>684</v>
      </c>
      <c r="AD318" s="75" t="s">
        <v>5159</v>
      </c>
      <c r="AE318" s="75" t="s">
        <v>5160</v>
      </c>
      <c r="AF318" s="75" t="s">
        <v>5165</v>
      </c>
      <c r="AG318" s="75" t="s">
        <v>5177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1128</v>
      </c>
      <c r="AC319" s="75" t="s">
        <v>1129</v>
      </c>
      <c r="AD319" s="75" t="s">
        <v>5159</v>
      </c>
      <c r="AE319" s="75" t="s">
        <v>5160</v>
      </c>
      <c r="AF319" s="75" t="s">
        <v>5165</v>
      </c>
      <c r="AG319" s="75" t="s">
        <v>5177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1791</v>
      </c>
      <c r="AC320" s="75" t="s">
        <v>1792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1823</v>
      </c>
      <c r="AC321" s="75" t="s">
        <v>1824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3512</v>
      </c>
      <c r="AC322" s="75" t="s">
        <v>3513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3"/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3514</v>
      </c>
      <c r="AC323" s="75" t="s">
        <v>3515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43"/>
        <v/>
      </c>
      <c r="E324" s="85"/>
      <c r="F324" s="80" t="str">
        <f t="shared" si="44"/>
        <v/>
      </c>
      <c r="G324" s="118"/>
      <c r="H324" s="80" t="str">
        <f t="shared" si="45"/>
        <v/>
      </c>
      <c r="I324" s="80" t="str">
        <f t="shared" si="46"/>
        <v/>
      </c>
      <c r="J324" s="117"/>
      <c r="K324" s="117"/>
      <c r="L324" s="117"/>
      <c r="M324" s="84"/>
      <c r="O324" s="75" t="str">
        <f t="shared" si="47"/>
        <v/>
      </c>
      <c r="P324" s="75" t="str">
        <f t="shared" si="48"/>
        <v/>
      </c>
      <c r="Q324" s="75" t="str">
        <f t="shared" si="49"/>
        <v/>
      </c>
      <c r="R324" s="75" t="str">
        <f t="shared" si="50"/>
        <v/>
      </c>
      <c r="AB324" s="75" t="s">
        <v>3516</v>
      </c>
      <c r="AC324" s="75" t="s">
        <v>3517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43"/>
        <v/>
      </c>
      <c r="E325" s="85"/>
      <c r="F325" s="80" t="str">
        <f t="shared" si="44"/>
        <v/>
      </c>
      <c r="G325" s="118"/>
      <c r="H325" s="80" t="str">
        <f t="shared" si="45"/>
        <v/>
      </c>
      <c r="I325" s="80" t="str">
        <f t="shared" si="46"/>
        <v/>
      </c>
      <c r="J325" s="117"/>
      <c r="K325" s="117"/>
      <c r="L325" s="117"/>
      <c r="M325" s="84"/>
      <c r="O325" s="75" t="str">
        <f t="shared" si="47"/>
        <v/>
      </c>
      <c r="P325" s="75" t="str">
        <f t="shared" si="48"/>
        <v/>
      </c>
      <c r="Q325" s="75" t="str">
        <f t="shared" si="49"/>
        <v/>
      </c>
      <c r="R325" s="75" t="str">
        <f t="shared" si="50"/>
        <v/>
      </c>
      <c r="AB325" s="75" t="s">
        <v>1867</v>
      </c>
      <c r="AC325" s="75" t="s">
        <v>1868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ref="D326:D389" si="51">IFERROR(VLOOKUP(C326,$S$6:$T$26,2,FALSE),"")</f>
        <v/>
      </c>
      <c r="E326" s="85"/>
      <c r="F326" s="80" t="str">
        <f t="shared" si="44"/>
        <v/>
      </c>
      <c r="G326" s="118"/>
      <c r="H326" s="80" t="str">
        <f t="shared" si="45"/>
        <v/>
      </c>
      <c r="I326" s="80" t="str">
        <f t="shared" si="46"/>
        <v/>
      </c>
      <c r="J326" s="117"/>
      <c r="K326" s="117"/>
      <c r="L326" s="117"/>
      <c r="M326" s="84"/>
      <c r="O326" s="75" t="str">
        <f t="shared" si="47"/>
        <v/>
      </c>
      <c r="P326" s="75" t="str">
        <f t="shared" si="48"/>
        <v/>
      </c>
      <c r="Q326" s="75" t="str">
        <f t="shared" si="49"/>
        <v/>
      </c>
      <c r="R326" s="75" t="str">
        <f t="shared" si="50"/>
        <v/>
      </c>
      <c r="AB326" s="75" t="s">
        <v>959</v>
      </c>
      <c r="AC326" s="75" t="s">
        <v>960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ref="F327:F390" si="52">IFERROR(VLOOKUP(E327,$V$5:$X$132,2,FALSE),"")</f>
        <v/>
      </c>
      <c r="G327" s="118"/>
      <c r="H327" s="80" t="str">
        <f t="shared" ref="H327:H390" si="53">IFERROR(VLOOKUP(G327,$AB$6:$AC$330,2,FALSE),"")</f>
        <v/>
      </c>
      <c r="I327" s="80" t="str">
        <f t="shared" ref="I327:I390" si="54">IFERROR(VLOOKUP(G327,$AB$6:$AF$330,3,FALSE),"")</f>
        <v/>
      </c>
      <c r="J327" s="117"/>
      <c r="K327" s="117"/>
      <c r="L327" s="117"/>
      <c r="M327" s="84"/>
      <c r="O327" s="75" t="str">
        <f t="shared" ref="O327:O390" si="55">LEFT(E327,3)</f>
        <v/>
      </c>
      <c r="P327" s="75" t="str">
        <f t="shared" ref="P327:P390" si="56">LEFT(E327,2)</f>
        <v/>
      </c>
      <c r="Q327" s="75" t="str">
        <f t="shared" ref="Q327:Q390" si="57">LEFT(C327,3)</f>
        <v/>
      </c>
      <c r="R327" s="75" t="str">
        <f t="shared" ref="R327:R390" si="58">MID(I327,2,2)</f>
        <v/>
      </c>
      <c r="AB327" s="75" t="s">
        <v>3518</v>
      </c>
      <c r="AC327" s="75" t="s">
        <v>3519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  <c r="AB328" s="75" t="s">
        <v>3520</v>
      </c>
      <c r="AC328" s="75" t="s">
        <v>3521</v>
      </c>
      <c r="AD328" s="75" t="s">
        <v>5141</v>
      </c>
      <c r="AE328" s="75" t="s">
        <v>5142</v>
      </c>
      <c r="AF328" s="75" t="s">
        <v>5167</v>
      </c>
      <c r="AG328" s="75" t="s">
        <v>5168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  <c r="AB329" s="75" t="s">
        <v>3522</v>
      </c>
      <c r="AC329" s="75" t="s">
        <v>3523</v>
      </c>
      <c r="AD329" s="75" t="s">
        <v>5141</v>
      </c>
      <c r="AE329" s="75" t="s">
        <v>5142</v>
      </c>
      <c r="AF329" s="75" t="s">
        <v>5167</v>
      </c>
      <c r="AG329" s="75" t="s">
        <v>5168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  <c r="AB330" s="75" t="s">
        <v>3460</v>
      </c>
      <c r="AC330" s="75" t="s">
        <v>684</v>
      </c>
      <c r="AD330" s="75" t="s">
        <v>5141</v>
      </c>
      <c r="AE330" s="75" t="s">
        <v>5142</v>
      </c>
      <c r="AF330" s="75" t="s">
        <v>5167</v>
      </c>
      <c r="AG330" s="75" t="s">
        <v>5168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1"/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1"/>
        <v/>
      </c>
      <c r="E388" s="85"/>
      <c r="F388" s="80" t="str">
        <f t="shared" si="52"/>
        <v/>
      </c>
      <c r="G388" s="118"/>
      <c r="H388" s="80" t="str">
        <f t="shared" si="53"/>
        <v/>
      </c>
      <c r="I388" s="80" t="str">
        <f t="shared" si="54"/>
        <v/>
      </c>
      <c r="J388" s="117"/>
      <c r="K388" s="117"/>
      <c r="L388" s="117"/>
      <c r="M388" s="84"/>
      <c r="O388" s="75" t="str">
        <f t="shared" si="55"/>
        <v/>
      </c>
      <c r="P388" s="75" t="str">
        <f t="shared" si="56"/>
        <v/>
      </c>
      <c r="Q388" s="75" t="str">
        <f t="shared" si="57"/>
        <v/>
      </c>
      <c r="R388" s="75" t="str">
        <f t="shared" si="58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1"/>
        <v/>
      </c>
      <c r="E389" s="85"/>
      <c r="F389" s="80" t="str">
        <f t="shared" si="52"/>
        <v/>
      </c>
      <c r="G389" s="118"/>
      <c r="H389" s="80" t="str">
        <f t="shared" si="53"/>
        <v/>
      </c>
      <c r="I389" s="80" t="str">
        <f t="shared" si="54"/>
        <v/>
      </c>
      <c r="J389" s="117"/>
      <c r="K389" s="117"/>
      <c r="L389" s="117"/>
      <c r="M389" s="84"/>
      <c r="O389" s="75" t="str">
        <f t="shared" si="55"/>
        <v/>
      </c>
      <c r="P389" s="75" t="str">
        <f t="shared" si="56"/>
        <v/>
      </c>
      <c r="Q389" s="75" t="str">
        <f t="shared" si="57"/>
        <v/>
      </c>
      <c r="R389" s="75" t="str">
        <f t="shared" si="5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ref="D390:D453" si="59">IFERROR(VLOOKUP(C390,$S$6:$T$26,2,FALSE),"")</f>
        <v/>
      </c>
      <c r="E390" s="85"/>
      <c r="F390" s="80" t="str">
        <f t="shared" si="52"/>
        <v/>
      </c>
      <c r="G390" s="118"/>
      <c r="H390" s="80" t="str">
        <f t="shared" si="53"/>
        <v/>
      </c>
      <c r="I390" s="80" t="str">
        <f t="shared" si="54"/>
        <v/>
      </c>
      <c r="J390" s="117"/>
      <c r="K390" s="117"/>
      <c r="L390" s="117"/>
      <c r="M390" s="84"/>
      <c r="O390" s="75" t="str">
        <f t="shared" si="55"/>
        <v/>
      </c>
      <c r="P390" s="75" t="str">
        <f t="shared" si="56"/>
        <v/>
      </c>
      <c r="Q390" s="75" t="str">
        <f t="shared" si="57"/>
        <v/>
      </c>
      <c r="R390" s="75" t="str">
        <f t="shared" si="5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ref="F391:F454" si="60">IFERROR(VLOOKUP(E391,$V$5:$X$132,2,FALSE),"")</f>
        <v/>
      </c>
      <c r="G391" s="118"/>
      <c r="H391" s="80" t="str">
        <f t="shared" ref="H391:H454" si="61">IFERROR(VLOOKUP(G391,$AB$6:$AC$330,2,FALSE),"")</f>
        <v/>
      </c>
      <c r="I391" s="80" t="str">
        <f t="shared" ref="I391:I454" si="62">IFERROR(VLOOKUP(G391,$AB$6:$AF$330,3,FALSE),"")</f>
        <v/>
      </c>
      <c r="J391" s="117"/>
      <c r="K391" s="117"/>
      <c r="L391" s="117"/>
      <c r="M391" s="84"/>
      <c r="O391" s="75" t="str">
        <f t="shared" ref="O391:O454" si="63">LEFT(E391,3)</f>
        <v/>
      </c>
      <c r="P391" s="75" t="str">
        <f t="shared" ref="P391:P454" si="64">LEFT(E391,2)</f>
        <v/>
      </c>
      <c r="Q391" s="75" t="str">
        <f t="shared" ref="Q391:Q454" si="65">LEFT(C391,3)</f>
        <v/>
      </c>
      <c r="R391" s="75" t="str">
        <f t="shared" ref="R391:R454" si="66">MID(I391,2,2)</f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59"/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59"/>
        <v/>
      </c>
      <c r="E452" s="85"/>
      <c r="F452" s="80" t="str">
        <f t="shared" si="60"/>
        <v/>
      </c>
      <c r="G452" s="118"/>
      <c r="H452" s="80" t="str">
        <f t="shared" si="61"/>
        <v/>
      </c>
      <c r="I452" s="80" t="str">
        <f t="shared" si="62"/>
        <v/>
      </c>
      <c r="J452" s="117"/>
      <c r="K452" s="117"/>
      <c r="L452" s="117"/>
      <c r="M452" s="84"/>
      <c r="O452" s="75" t="str">
        <f t="shared" si="63"/>
        <v/>
      </c>
      <c r="P452" s="75" t="str">
        <f t="shared" si="64"/>
        <v/>
      </c>
      <c r="Q452" s="75" t="str">
        <f t="shared" si="65"/>
        <v/>
      </c>
      <c r="R452" s="75" t="str">
        <f t="shared" si="66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59"/>
        <v/>
      </c>
      <c r="E453" s="85"/>
      <c r="F453" s="80" t="str">
        <f t="shared" si="60"/>
        <v/>
      </c>
      <c r="G453" s="118"/>
      <c r="H453" s="80" t="str">
        <f t="shared" si="61"/>
        <v/>
      </c>
      <c r="I453" s="80" t="str">
        <f t="shared" si="62"/>
        <v/>
      </c>
      <c r="J453" s="117"/>
      <c r="K453" s="117"/>
      <c r="L453" s="117"/>
      <c r="M453" s="84"/>
      <c r="O453" s="75" t="str">
        <f t="shared" si="63"/>
        <v/>
      </c>
      <c r="P453" s="75" t="str">
        <f t="shared" si="64"/>
        <v/>
      </c>
      <c r="Q453" s="75" t="str">
        <f t="shared" si="65"/>
        <v/>
      </c>
      <c r="R453" s="75" t="str">
        <f t="shared" si="6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ref="D454:D504" si="67">IFERROR(VLOOKUP(C454,$S$6:$T$26,2,FALSE),"")</f>
        <v/>
      </c>
      <c r="E454" s="85"/>
      <c r="F454" s="80" t="str">
        <f t="shared" si="60"/>
        <v/>
      </c>
      <c r="G454" s="118"/>
      <c r="H454" s="80" t="str">
        <f t="shared" si="61"/>
        <v/>
      </c>
      <c r="I454" s="80" t="str">
        <f t="shared" si="62"/>
        <v/>
      </c>
      <c r="J454" s="117"/>
      <c r="K454" s="117"/>
      <c r="L454" s="117"/>
      <c r="M454" s="84"/>
      <c r="O454" s="75" t="str">
        <f t="shared" si="63"/>
        <v/>
      </c>
      <c r="P454" s="75" t="str">
        <f t="shared" si="64"/>
        <v/>
      </c>
      <c r="Q454" s="75" t="str">
        <f t="shared" si="65"/>
        <v/>
      </c>
      <c r="R454" s="75" t="str">
        <f t="shared" si="6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ref="F455:F504" si="68">IFERROR(VLOOKUP(E455,$V$5:$X$132,2,FALSE),"")</f>
        <v/>
      </c>
      <c r="G455" s="118"/>
      <c r="H455" s="80" t="str">
        <f t="shared" ref="H455:H504" si="69">IFERROR(VLOOKUP(G455,$AB$6:$AC$330,2,FALSE),"")</f>
        <v/>
      </c>
      <c r="I455" s="80" t="str">
        <f t="shared" ref="I455:I504" si="70">IFERROR(VLOOKUP(G455,$AB$6:$AF$330,3,FALSE),"")</f>
        <v/>
      </c>
      <c r="J455" s="117"/>
      <c r="K455" s="117"/>
      <c r="L455" s="117"/>
      <c r="M455" s="84"/>
      <c r="O455" s="75" t="str">
        <f t="shared" ref="O455:O504" si="71">LEFT(E455,3)</f>
        <v/>
      </c>
      <c r="P455" s="75" t="str">
        <f t="shared" ref="P455:P504" si="72">LEFT(E455,2)</f>
        <v/>
      </c>
      <c r="Q455" s="75" t="str">
        <f t="shared" ref="Q455:Q504" si="73">LEFT(C455,3)</f>
        <v/>
      </c>
      <c r="R455" s="75" t="str">
        <f t="shared" ref="R455:R504" si="74">MID(I455,2,2)</f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67"/>
        <v/>
      </c>
      <c r="E502" s="85"/>
      <c r="F502" s="80" t="str">
        <f t="shared" si="68"/>
        <v/>
      </c>
      <c r="G502" s="118"/>
      <c r="H502" s="80" t="str">
        <f t="shared" si="69"/>
        <v/>
      </c>
      <c r="I502" s="80" t="str">
        <f t="shared" si="70"/>
        <v/>
      </c>
      <c r="J502" s="117"/>
      <c r="K502" s="117"/>
      <c r="L502" s="117"/>
      <c r="M502" s="84"/>
      <c r="O502" s="75" t="str">
        <f t="shared" si="71"/>
        <v/>
      </c>
      <c r="P502" s="75" t="str">
        <f t="shared" si="72"/>
        <v/>
      </c>
      <c r="Q502" s="75" t="str">
        <f t="shared" si="73"/>
        <v/>
      </c>
      <c r="R502" s="75" t="str">
        <f t="shared" si="74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67"/>
        <v/>
      </c>
      <c r="E503" s="85"/>
      <c r="F503" s="80" t="str">
        <f t="shared" si="68"/>
        <v/>
      </c>
      <c r="G503" s="118"/>
      <c r="H503" s="80" t="str">
        <f t="shared" si="69"/>
        <v/>
      </c>
      <c r="I503" s="80" t="str">
        <f t="shared" si="70"/>
        <v/>
      </c>
      <c r="J503" s="117"/>
      <c r="K503" s="117"/>
      <c r="L503" s="117"/>
      <c r="M503" s="84"/>
      <c r="O503" s="75" t="str">
        <f t="shared" si="71"/>
        <v/>
      </c>
      <c r="P503" s="75" t="str">
        <f t="shared" si="72"/>
        <v/>
      </c>
      <c r="Q503" s="75" t="str">
        <f t="shared" si="73"/>
        <v/>
      </c>
      <c r="R503" s="75" t="str">
        <f t="shared" si="74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67"/>
        <v/>
      </c>
      <c r="E504" s="85"/>
      <c r="F504" s="80" t="str">
        <f t="shared" si="68"/>
        <v/>
      </c>
      <c r="G504" s="118"/>
      <c r="H504" s="80" t="str">
        <f t="shared" si="69"/>
        <v/>
      </c>
      <c r="I504" s="80" t="str">
        <f t="shared" si="70"/>
        <v/>
      </c>
      <c r="J504" s="117"/>
      <c r="K504" s="117"/>
      <c r="L504" s="117"/>
      <c r="M504" s="84"/>
      <c r="O504" s="75" t="str">
        <f t="shared" si="71"/>
        <v/>
      </c>
      <c r="P504" s="75" t="str">
        <f t="shared" si="72"/>
        <v/>
      </c>
      <c r="Q504" s="75" t="str">
        <f t="shared" si="73"/>
        <v/>
      </c>
      <c r="R504" s="75" t="str">
        <f t="shared" si="74"/>
        <v/>
      </c>
    </row>
    <row r="505" spans="1:18"/>
    <row r="506" spans="1:18" hidden="1"/>
    <row r="507" spans="1:18" hidden="1"/>
    <row r="508" spans="1:18" hidden="1"/>
    <row r="509" spans="1:18" hidden="1"/>
    <row r="510" spans="1:18" hidden="1"/>
  </sheetData>
  <sheetProtection selectLockedCells="1"/>
  <sortState ref="AB9:AC74">
    <sortCondition ref="AB6"/>
  </sortState>
  <mergeCells count="1">
    <mergeCell ref="A1:D1"/>
  </mergeCells>
  <conditionalFormatting sqref="M3:M504">
    <cfRule type="expression" dxfId="0" priority="1">
      <formula>IF(OR(E3=3691,E3=3692,E3=3693,E3=3694),1,0)</formula>
    </cfRule>
  </conditionalFormatting>
  <dataValidations xWindow="602" yWindow="345" count="7">
    <dataValidation type="whole" allowBlank="1" showInputMessage="1" showErrorMessage="1" errorTitle="GREŠKA" error="U ovo polje je dozvoljen unos samo brojčanih vrijednosti (bez decimala!)" sqref="J3:J504 L3:L504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10:E504" xr:uid="{00000000-0002-0000-0200-000001000000}">
      <formula1>$V$5:$V$132</formula1>
    </dataValidation>
    <dataValidation type="list" allowBlank="1" showInputMessage="1" showErrorMessage="1" errorTitle="GREŠKA" error="Za unos odaberite vrijednost iz padajućeg izbornika!" prompt="Molimo odaberite vrijednost iz padajućeg izbornika!" sqref="C110:C504" xr:uid="{00000000-0002-0000-0200-000002000000}">
      <formula1>$S$6:$S$26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10:G504" xr:uid="{00000000-0002-0000-0200-000003000000}">
      <formula1>$AB$6:$AB$330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09" xr:uid="{88D82097-1FAD-428B-A46F-D6A7691E18BC}">
      <formula1>$V$5:$V$186</formula1>
    </dataValidation>
    <dataValidation type="list" allowBlank="1" showInputMessage="1" showErrorMessage="1" errorTitle="GREŠKA" error="Za unos odaberite vrijednost iz padajućeg izbornika!" prompt="Molimo odaberite vrijednost iz padajućeg izbornika!" sqref="C3:C109" xr:uid="{A02EC9F7-296F-4B7B-A5F5-9ABB2D937796}">
      <formula1>$S$6:$S$49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09" xr:uid="{3EA7EFB3-ED56-4C47-A664-C0B5B4A1BBEA}">
      <formula1>$AB$6:$AB$384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abSelected="1" zoomScale="80" zoomScaleNormal="80" workbookViewId="0">
      <pane ySplit="2" topLeftCell="A3" activePane="bottomLeft" state="frozen"/>
      <selection pane="bottomLeft" activeCell="H20" sqref="H20"/>
    </sheetView>
  </sheetViews>
  <sheetFormatPr defaultColWidth="9.109375" defaultRowHeight="14.4"/>
  <cols>
    <col min="1" max="1" width="12.88671875" style="75" customWidth="1"/>
    <col min="2" max="2" width="32.109375" style="75" customWidth="1"/>
    <col min="3" max="3" width="11.6640625" style="75" customWidth="1"/>
    <col min="4" max="4" width="25.44140625" style="75" customWidth="1"/>
    <col min="5" max="5" width="16.44140625" style="75" customWidth="1"/>
    <col min="6" max="6" width="30.33203125" style="75" customWidth="1"/>
    <col min="7" max="7" width="6.109375" style="75" bestFit="1" customWidth="1"/>
    <col min="8" max="8" width="16.44140625" style="76" customWidth="1"/>
    <col min="9" max="9" width="15.6640625" style="76" customWidth="1"/>
    <col min="10" max="10" width="15.109375" style="76" customWidth="1"/>
    <col min="11" max="11" width="33.6640625" style="76" customWidth="1"/>
    <col min="12" max="13" width="9.5546875" style="76" customWidth="1"/>
    <col min="14" max="14" width="15.109375" style="76" customWidth="1"/>
    <col min="15" max="15" width="18.33203125" style="76" customWidth="1"/>
    <col min="16" max="16" width="51.6640625" style="76" customWidth="1"/>
    <col min="17" max="21" width="9.109375" style="75" customWidth="1"/>
    <col min="22" max="22" width="46.5546875" style="75" customWidth="1"/>
    <col min="23" max="24" width="9.109375" style="75" customWidth="1"/>
    <col min="25" max="25" width="58.88671875" style="75" customWidth="1"/>
    <col min="26" max="29" width="9.109375" style="75" customWidth="1"/>
    <col min="30" max="30" width="14.6640625" style="75" customWidth="1"/>
    <col min="31" max="16384" width="9.109375" style="75"/>
  </cols>
  <sheetData>
    <row r="1" spans="1:33" ht="35.25" customHeight="1">
      <c r="A1" s="385" t="s">
        <v>663</v>
      </c>
      <c r="B1" s="38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57.6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5271</v>
      </c>
      <c r="I2" s="330" t="s">
        <v>5264</v>
      </c>
      <c r="J2" s="330" t="s">
        <v>5272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3221</v>
      </c>
      <c r="D3" s="80" t="s">
        <v>78</v>
      </c>
      <c r="E3" s="118" t="s">
        <v>3020</v>
      </c>
      <c r="F3" s="80" t="s">
        <v>5279</v>
      </c>
      <c r="G3" s="80">
        <v>942</v>
      </c>
      <c r="H3" s="117"/>
      <c r="I3" s="117">
        <v>3148</v>
      </c>
      <c r="J3" s="117">
        <v>3148</v>
      </c>
      <c r="K3" s="130"/>
      <c r="L3" s="129"/>
      <c r="M3" s="129"/>
      <c r="N3" s="130"/>
      <c r="O3" s="307"/>
      <c r="P3" s="84"/>
      <c r="R3" s="75" t="str">
        <f>LEFT(C3,3)</f>
        <v>322</v>
      </c>
      <c r="S3" s="75" t="str">
        <f>LEFT(C3,2)</f>
        <v>32</v>
      </c>
      <c r="T3" s="75" t="str">
        <f>MID(G3,2,2)</f>
        <v>42</v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3237</v>
      </c>
      <c r="D4" s="80" t="str">
        <f t="shared" ref="D4:D67" si="2">IFERROR(VLOOKUP(C4,$X$5:$Z$129,2,FALSE),"")</f>
        <v>Intelektualne i osobne usluge</v>
      </c>
      <c r="E4" s="118" t="s">
        <v>3020</v>
      </c>
      <c r="F4" s="80" t="s">
        <v>5280</v>
      </c>
      <c r="G4" s="80" t="str">
        <f t="shared" ref="G4:G67" si="3">IFERROR(VLOOKUP(E4,$AD$6:$AG$1090,4,FALSE),"")</f>
        <v>0942</v>
      </c>
      <c r="H4" s="117"/>
      <c r="I4" s="117">
        <v>11000</v>
      </c>
      <c r="J4" s="117">
        <v>11000</v>
      </c>
      <c r="K4" s="130"/>
      <c r="L4" s="129"/>
      <c r="M4" s="129"/>
      <c r="N4" s="130"/>
      <c r="O4" s="307"/>
      <c r="P4" s="84"/>
      <c r="R4" s="75" t="str">
        <f t="shared" ref="R4:R67" si="4">LEFT(C4,3)</f>
        <v>323</v>
      </c>
      <c r="S4" s="75" t="str">
        <f t="shared" ref="S4:S67" si="5">LEFT(C4,2)</f>
        <v>32</v>
      </c>
      <c r="T4" s="75" t="str">
        <f t="shared" ref="T4:T67" si="6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4221</v>
      </c>
      <c r="D5" s="80" t="str">
        <f t="shared" si="2"/>
        <v>Uredska oprema i namještaj</v>
      </c>
      <c r="E5" s="118" t="s">
        <v>3020</v>
      </c>
      <c r="F5" s="80" t="s">
        <v>5279</v>
      </c>
      <c r="G5" s="80" t="str">
        <f t="shared" si="3"/>
        <v>0942</v>
      </c>
      <c r="H5" s="363"/>
      <c r="I5" s="117">
        <v>2963</v>
      </c>
      <c r="J5" s="117">
        <v>2963</v>
      </c>
      <c r="K5" s="130"/>
      <c r="L5" s="129"/>
      <c r="M5" s="129"/>
      <c r="N5" s="130"/>
      <c r="O5" s="307"/>
      <c r="P5" s="84"/>
      <c r="R5" s="75" t="str">
        <f t="shared" si="4"/>
        <v>422</v>
      </c>
      <c r="S5" s="75" t="str">
        <f t="shared" si="5"/>
        <v>42</v>
      </c>
      <c r="T5" s="75" t="str">
        <f t="shared" si="6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7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/>
      <c r="C6" s="360"/>
      <c r="D6" s="361"/>
      <c r="E6" s="362"/>
      <c r="F6" s="361"/>
      <c r="G6" s="361"/>
      <c r="H6" s="363"/>
      <c r="I6" s="363"/>
      <c r="J6" s="363"/>
      <c r="K6" s="130"/>
      <c r="L6" s="129"/>
      <c r="M6" s="129"/>
      <c r="N6" s="130"/>
      <c r="O6" s="307"/>
      <c r="P6" s="84"/>
      <c r="R6" s="75" t="str">
        <f t="shared" si="4"/>
        <v/>
      </c>
      <c r="S6" s="75" t="str">
        <f t="shared" si="5"/>
        <v/>
      </c>
      <c r="T6" s="75" t="str">
        <f t="shared" si="6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7"/>
        <v>31</v>
      </c>
      <c r="AB6" s="75" t="str">
        <f t="shared" ref="AB6:AB69" si="8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/>
      <c r="C7" s="85"/>
      <c r="D7" s="80"/>
      <c r="E7" s="118"/>
      <c r="F7" s="80"/>
      <c r="G7" s="80"/>
      <c r="H7" s="363"/>
      <c r="I7" s="117"/>
      <c r="J7" s="117"/>
      <c r="K7" s="130"/>
      <c r="L7" s="129"/>
      <c r="M7" s="129"/>
      <c r="N7" s="130"/>
      <c r="O7" s="307"/>
      <c r="P7" s="84"/>
      <c r="R7" s="75" t="str">
        <f t="shared" si="4"/>
        <v/>
      </c>
      <c r="S7" s="75" t="str">
        <f t="shared" si="5"/>
        <v/>
      </c>
      <c r="T7" s="75" t="str">
        <f t="shared" si="6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7"/>
        <v>31</v>
      </c>
      <c r="AB7" s="75" t="str">
        <f t="shared" si="8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/>
      <c r="C8" s="85"/>
      <c r="D8" s="80"/>
      <c r="E8" s="118"/>
      <c r="F8" s="80"/>
      <c r="G8" s="80"/>
      <c r="H8" s="363"/>
      <c r="I8" s="117"/>
      <c r="J8" s="117"/>
      <c r="K8" s="130"/>
      <c r="L8" s="129"/>
      <c r="M8" s="129"/>
      <c r="N8" s="130"/>
      <c r="O8" s="307"/>
      <c r="P8" s="84"/>
      <c r="R8" s="75" t="str">
        <f t="shared" si="4"/>
        <v/>
      </c>
      <c r="S8" s="75" t="str">
        <f t="shared" si="5"/>
        <v/>
      </c>
      <c r="T8" s="75" t="str">
        <f t="shared" si="6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7"/>
        <v>31</v>
      </c>
      <c r="AB8" s="75" t="str">
        <f t="shared" si="8"/>
        <v>311</v>
      </c>
      <c r="AD8" s="75" t="s">
        <v>1170</v>
      </c>
      <c r="AE8" s="75" t="s">
        <v>1171</v>
      </c>
      <c r="AF8" s="75" t="str">
        <f t="shared" ref="AF8:AF71" si="9">LEFT(AD8,7)</f>
        <v>K578051</v>
      </c>
      <c r="AG8" s="75" t="str">
        <f>VLOOKUP(AF8,AKT!$C$4:$E$324,3,FALSE)</f>
        <v>0150</v>
      </c>
    </row>
    <row r="9" spans="1:33">
      <c r="A9" s="85"/>
      <c r="B9" s="80"/>
      <c r="C9" s="85"/>
      <c r="D9" s="80"/>
      <c r="E9" s="118"/>
      <c r="F9" s="80"/>
      <c r="G9" s="80"/>
      <c r="H9" s="363"/>
      <c r="I9" s="117"/>
      <c r="J9" s="117"/>
      <c r="K9" s="130"/>
      <c r="L9" s="129"/>
      <c r="M9" s="129"/>
      <c r="N9" s="130"/>
      <c r="O9" s="307"/>
      <c r="P9" s="84"/>
      <c r="R9" s="75" t="str">
        <f t="shared" si="4"/>
        <v/>
      </c>
      <c r="S9" s="75" t="str">
        <f t="shared" si="5"/>
        <v/>
      </c>
      <c r="T9" s="75" t="str">
        <f t="shared" si="6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7"/>
        <v>31</v>
      </c>
      <c r="AB9" s="75" t="str">
        <f t="shared" si="8"/>
        <v>312</v>
      </c>
      <c r="AD9" s="75" t="s">
        <v>1172</v>
      </c>
      <c r="AE9" s="75" t="s">
        <v>1173</v>
      </c>
      <c r="AF9" s="75" t="str">
        <f t="shared" si="9"/>
        <v>K578051</v>
      </c>
      <c r="AG9" s="75" t="str">
        <f>VLOOKUP(AF9,AKT!$C$4:$E$324,3,FALSE)</f>
        <v>0150</v>
      </c>
    </row>
    <row r="10" spans="1:33">
      <c r="A10" s="85"/>
      <c r="B10" s="80"/>
      <c r="C10" s="85"/>
      <c r="D10" s="80"/>
      <c r="E10" s="118"/>
      <c r="F10" s="80"/>
      <c r="G10" s="80"/>
      <c r="H10" s="363"/>
      <c r="I10" s="117"/>
      <c r="J10" s="117"/>
      <c r="K10" s="130"/>
      <c r="L10" s="129"/>
      <c r="M10" s="129"/>
      <c r="N10" s="130"/>
      <c r="O10" s="307"/>
      <c r="P10" s="84"/>
      <c r="R10" s="75" t="str">
        <f t="shared" si="4"/>
        <v/>
      </c>
      <c r="S10" s="75" t="str">
        <f t="shared" si="5"/>
        <v/>
      </c>
      <c r="T10" s="75" t="str">
        <f t="shared" si="6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7"/>
        <v>31</v>
      </c>
      <c r="AB10" s="125" t="str">
        <f t="shared" si="8"/>
        <v>313</v>
      </c>
      <c r="AD10" s="75" t="s">
        <v>1174</v>
      </c>
      <c r="AE10" s="75" t="s">
        <v>258</v>
      </c>
      <c r="AF10" s="75" t="str">
        <f t="shared" si="9"/>
        <v>K578051</v>
      </c>
      <c r="AG10" s="75" t="str">
        <f>VLOOKUP(AF10,AKT!$C$4:$E$324,3,FALSE)</f>
        <v>0150</v>
      </c>
    </row>
    <row r="11" spans="1:33">
      <c r="A11" s="85"/>
      <c r="B11" s="80"/>
      <c r="C11" s="85"/>
      <c r="D11" s="80"/>
      <c r="E11" s="118"/>
      <c r="F11" s="80"/>
      <c r="G11" s="80"/>
      <c r="H11" s="363"/>
      <c r="I11" s="117"/>
      <c r="J11" s="117"/>
      <c r="K11" s="130"/>
      <c r="L11" s="129"/>
      <c r="M11" s="129"/>
      <c r="N11" s="130"/>
      <c r="O11" s="307"/>
      <c r="P11" s="84"/>
      <c r="R11" s="75" t="str">
        <f t="shared" si="4"/>
        <v/>
      </c>
      <c r="S11" s="75" t="str">
        <f t="shared" si="5"/>
        <v/>
      </c>
      <c r="T11" s="75" t="str">
        <f t="shared" si="6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7"/>
        <v>32</v>
      </c>
      <c r="AB11" s="75" t="str">
        <f t="shared" si="8"/>
        <v>321</v>
      </c>
      <c r="AD11" s="75" t="s">
        <v>1175</v>
      </c>
      <c r="AE11" s="75" t="s">
        <v>1176</v>
      </c>
      <c r="AF11" s="75" t="str">
        <f t="shared" si="9"/>
        <v>K578051</v>
      </c>
      <c r="AG11" s="75" t="str">
        <f>VLOOKUP(AF11,AKT!$C$4:$E$324,3,FALSE)</f>
        <v>0150</v>
      </c>
    </row>
    <row r="12" spans="1:33">
      <c r="A12" s="85"/>
      <c r="B12" s="80"/>
      <c r="C12" s="360"/>
      <c r="D12" s="361"/>
      <c r="E12" s="362"/>
      <c r="F12" s="361"/>
      <c r="G12" s="361"/>
      <c r="H12" s="363"/>
      <c r="I12" s="363"/>
      <c r="J12" s="363"/>
      <c r="K12" s="130"/>
      <c r="L12" s="129"/>
      <c r="M12" s="129"/>
      <c r="N12" s="130"/>
      <c r="O12" s="307"/>
      <c r="P12" s="84"/>
      <c r="R12" s="75" t="str">
        <f t="shared" si="4"/>
        <v/>
      </c>
      <c r="S12" s="75" t="str">
        <f t="shared" si="5"/>
        <v/>
      </c>
      <c r="T12" s="75" t="str">
        <f t="shared" si="6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7"/>
        <v>32</v>
      </c>
      <c r="AB12" s="75" t="str">
        <f t="shared" si="8"/>
        <v>321</v>
      </c>
      <c r="AD12" s="75" t="s">
        <v>1177</v>
      </c>
      <c r="AE12" s="75" t="s">
        <v>1178</v>
      </c>
      <c r="AF12" s="75" t="str">
        <f t="shared" si="9"/>
        <v>K578051</v>
      </c>
      <c r="AG12" s="75" t="str">
        <f>VLOOKUP(AF12,AKT!$C$4:$E$324,3,FALSE)</f>
        <v>0150</v>
      </c>
    </row>
    <row r="13" spans="1:33">
      <c r="A13" s="85"/>
      <c r="B13" s="80"/>
      <c r="C13" s="360"/>
      <c r="D13" s="361"/>
      <c r="E13" s="362"/>
      <c r="F13" s="361"/>
      <c r="G13" s="361"/>
      <c r="H13" s="363"/>
      <c r="I13" s="363"/>
      <c r="J13" s="363"/>
      <c r="K13" s="130"/>
      <c r="L13" s="129"/>
      <c r="M13" s="129"/>
      <c r="N13" s="130"/>
      <c r="O13" s="307"/>
      <c r="P13" s="84"/>
      <c r="R13" s="75" t="str">
        <f t="shared" si="4"/>
        <v/>
      </c>
      <c r="S13" s="75" t="str">
        <f t="shared" si="5"/>
        <v/>
      </c>
      <c r="T13" s="75" t="str">
        <f t="shared" si="6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7"/>
        <v>32</v>
      </c>
      <c r="AB13" s="75" t="str">
        <f t="shared" si="8"/>
        <v>321</v>
      </c>
      <c r="AD13" s="75" t="s">
        <v>1179</v>
      </c>
      <c r="AE13" s="75" t="s">
        <v>1180</v>
      </c>
      <c r="AF13" s="75" t="str">
        <f t="shared" si="9"/>
        <v>K578051</v>
      </c>
      <c r="AG13" s="75" t="str">
        <f>VLOOKUP(AF13,AKT!$C$4:$E$324,3,FALSE)</f>
        <v>0150</v>
      </c>
    </row>
    <row r="14" spans="1:33">
      <c r="A14" s="85"/>
      <c r="B14" s="80"/>
      <c r="C14" s="85"/>
      <c r="D14" s="80"/>
      <c r="E14" s="118"/>
      <c r="F14" s="80"/>
      <c r="G14" s="80"/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4"/>
        <v/>
      </c>
      <c r="S14" s="75" t="str">
        <f t="shared" si="5"/>
        <v/>
      </c>
      <c r="T14" s="75" t="str">
        <f t="shared" si="6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7"/>
        <v>32</v>
      </c>
      <c r="AB14" s="75" t="str">
        <f t="shared" si="8"/>
        <v>321</v>
      </c>
      <c r="AD14" s="75" t="s">
        <v>1181</v>
      </c>
      <c r="AE14" s="75" t="s">
        <v>1182</v>
      </c>
      <c r="AF14" s="75" t="str">
        <f t="shared" si="9"/>
        <v>K578051</v>
      </c>
      <c r="AG14" s="75" t="str">
        <f>VLOOKUP(AF14,AKT!$C$4:$E$324,3,FALSE)</f>
        <v>0150</v>
      </c>
    </row>
    <row r="15" spans="1:33">
      <c r="A15" s="85"/>
      <c r="B15" s="80"/>
      <c r="C15" s="85"/>
      <c r="D15" s="80"/>
      <c r="E15" s="118"/>
      <c r="F15" s="80"/>
      <c r="G15" s="80"/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4"/>
        <v/>
      </c>
      <c r="S15" s="75" t="str">
        <f t="shared" si="5"/>
        <v/>
      </c>
      <c r="T15" s="75" t="str">
        <f t="shared" si="6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7"/>
        <v>32</v>
      </c>
      <c r="AB15" s="75" t="str">
        <f t="shared" si="8"/>
        <v>322</v>
      </c>
      <c r="AD15" s="75" t="s">
        <v>1131</v>
      </c>
      <c r="AE15" s="75" t="s">
        <v>1132</v>
      </c>
      <c r="AF15" s="75" t="str">
        <f t="shared" si="9"/>
        <v>K818050</v>
      </c>
      <c r="AG15" s="75" t="str">
        <f>VLOOKUP(AF15,AKT!$C$4:$E$324,3,FALSE)</f>
        <v>0950</v>
      </c>
    </row>
    <row r="16" spans="1:33">
      <c r="A16" s="85"/>
      <c r="B16" s="80"/>
      <c r="C16" s="85"/>
      <c r="D16" s="80"/>
      <c r="E16" s="118"/>
      <c r="F16" s="80"/>
      <c r="G16" s="80"/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4"/>
        <v/>
      </c>
      <c r="S16" s="75" t="str">
        <f t="shared" si="5"/>
        <v/>
      </c>
      <c r="T16" s="75" t="str">
        <f t="shared" si="6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7"/>
        <v>32</v>
      </c>
      <c r="AB16" s="75" t="str">
        <f t="shared" si="8"/>
        <v>322</v>
      </c>
      <c r="AD16" s="75" t="s">
        <v>1133</v>
      </c>
      <c r="AE16" s="75" t="s">
        <v>1134</v>
      </c>
      <c r="AF16" s="75" t="str">
        <f t="shared" si="9"/>
        <v>K818050</v>
      </c>
      <c r="AG16" s="75" t="str">
        <f>VLOOKUP(AF16,AKT!$C$4:$E$324,3,FALSE)</f>
        <v>0950</v>
      </c>
    </row>
    <row r="17" spans="1:33">
      <c r="A17" s="85"/>
      <c r="B17" s="80"/>
      <c r="C17" s="85"/>
      <c r="D17" s="80"/>
      <c r="E17" s="118"/>
      <c r="F17" s="80"/>
      <c r="G17" s="80"/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4"/>
        <v/>
      </c>
      <c r="S17" s="75" t="str">
        <f t="shared" si="5"/>
        <v/>
      </c>
      <c r="T17" s="75" t="str">
        <f t="shared" si="6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7"/>
        <v>32</v>
      </c>
      <c r="AB17" s="75" t="str">
        <f t="shared" si="8"/>
        <v>322</v>
      </c>
      <c r="AD17" s="75" t="s">
        <v>1135</v>
      </c>
      <c r="AE17" s="75" t="s">
        <v>1136</v>
      </c>
      <c r="AF17" s="75" t="str">
        <f t="shared" si="9"/>
        <v>K818050</v>
      </c>
      <c r="AG17" s="75" t="str">
        <f>VLOOKUP(AF17,AKT!$C$4:$E$324,3,FALSE)</f>
        <v>0950</v>
      </c>
    </row>
    <row r="18" spans="1:33">
      <c r="A18" s="85"/>
      <c r="B18" s="80"/>
      <c r="C18" s="85"/>
      <c r="D18" s="80"/>
      <c r="E18" s="118"/>
      <c r="F18" s="80"/>
      <c r="G18" s="80"/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4"/>
        <v/>
      </c>
      <c r="S18" s="75" t="str">
        <f t="shared" si="5"/>
        <v/>
      </c>
      <c r="T18" s="75" t="str">
        <f t="shared" si="6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7"/>
        <v>32</v>
      </c>
      <c r="AB18" s="75" t="str">
        <f t="shared" si="8"/>
        <v>322</v>
      </c>
      <c r="AD18" s="75" t="s">
        <v>1137</v>
      </c>
      <c r="AE18" s="75" t="s">
        <v>1138</v>
      </c>
      <c r="AF18" s="75" t="str">
        <f t="shared" si="9"/>
        <v>K818050</v>
      </c>
      <c r="AG18" s="75" t="str">
        <f>VLOOKUP(AF18,AKT!$C$4:$E$324,3,FALSE)</f>
        <v>0950</v>
      </c>
    </row>
    <row r="19" spans="1:33">
      <c r="A19" s="85"/>
      <c r="B19" s="80"/>
      <c r="C19" s="85"/>
      <c r="D19" s="80"/>
      <c r="E19" s="118"/>
      <c r="F19" s="80"/>
      <c r="G19" s="80"/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4"/>
        <v/>
      </c>
      <c r="S19" s="75" t="str">
        <f t="shared" si="5"/>
        <v/>
      </c>
      <c r="T19" s="75" t="str">
        <f t="shared" si="6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7"/>
        <v>32</v>
      </c>
      <c r="AB19" s="75" t="str">
        <f t="shared" si="8"/>
        <v>322</v>
      </c>
      <c r="AD19" s="75" t="s">
        <v>1139</v>
      </c>
      <c r="AE19" s="75" t="s">
        <v>872</v>
      </c>
      <c r="AF19" s="75" t="str">
        <f t="shared" si="9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ref="F20:F67" si="10">IFERROR(VLOOKUP(E20,$AD$6:$AE$1090,2,FALSE),"")</f>
        <v/>
      </c>
      <c r="G20" s="80" t="str">
        <f t="shared" si="3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4"/>
        <v/>
      </c>
      <c r="S20" s="75" t="str">
        <f t="shared" si="5"/>
        <v/>
      </c>
      <c r="T20" s="75" t="str">
        <f t="shared" si="6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7"/>
        <v>32</v>
      </c>
      <c r="AB20" s="75" t="str">
        <f t="shared" si="8"/>
        <v>322</v>
      </c>
      <c r="AD20" s="75" t="s">
        <v>1140</v>
      </c>
      <c r="AE20" s="75" t="s">
        <v>874</v>
      </c>
      <c r="AF20" s="75" t="str">
        <f t="shared" si="9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10"/>
        <v/>
      </c>
      <c r="G21" s="80" t="str">
        <f t="shared" si="3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4"/>
        <v/>
      </c>
      <c r="S21" s="75" t="str">
        <f t="shared" si="5"/>
        <v/>
      </c>
      <c r="T21" s="75" t="str">
        <f t="shared" si="6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7"/>
        <v>32</v>
      </c>
      <c r="AB21" s="75" t="str">
        <f t="shared" si="8"/>
        <v>322</v>
      </c>
      <c r="AD21" s="75" t="s">
        <v>1141</v>
      </c>
      <c r="AE21" s="75" t="s">
        <v>876</v>
      </c>
      <c r="AF21" s="75" t="str">
        <f t="shared" si="9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10"/>
        <v/>
      </c>
      <c r="G22" s="80" t="str">
        <f t="shared" si="3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4"/>
        <v/>
      </c>
      <c r="S22" s="75" t="str">
        <f t="shared" si="5"/>
        <v/>
      </c>
      <c r="T22" s="75" t="str">
        <f t="shared" si="6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7"/>
        <v>32</v>
      </c>
      <c r="AB22" s="75" t="str">
        <f t="shared" si="8"/>
        <v>323</v>
      </c>
      <c r="AD22" s="75" t="s">
        <v>1142</v>
      </c>
      <c r="AE22" s="75" t="s">
        <v>1143</v>
      </c>
      <c r="AF22" s="75" t="str">
        <f t="shared" si="9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10"/>
        <v/>
      </c>
      <c r="G23" s="80" t="str">
        <f t="shared" si="3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4"/>
        <v/>
      </c>
      <c r="S23" s="75" t="str">
        <f t="shared" si="5"/>
        <v/>
      </c>
      <c r="T23" s="75" t="str">
        <f t="shared" si="6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7"/>
        <v>32</v>
      </c>
      <c r="AB23" s="75" t="str">
        <f t="shared" si="8"/>
        <v>323</v>
      </c>
      <c r="AD23" s="75" t="s">
        <v>1144</v>
      </c>
      <c r="AE23" s="75" t="s">
        <v>1145</v>
      </c>
      <c r="AF23" s="75" t="str">
        <f t="shared" si="9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10"/>
        <v/>
      </c>
      <c r="G24" s="80" t="str">
        <f t="shared" si="3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4"/>
        <v/>
      </c>
      <c r="S24" s="75" t="str">
        <f t="shared" si="5"/>
        <v/>
      </c>
      <c r="T24" s="75" t="str">
        <f t="shared" si="6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7"/>
        <v>32</v>
      </c>
      <c r="AB24" s="75" t="str">
        <f t="shared" si="8"/>
        <v>323</v>
      </c>
      <c r="AD24" s="75" t="s">
        <v>1146</v>
      </c>
      <c r="AE24" s="75" t="s">
        <v>1147</v>
      </c>
      <c r="AF24" s="75" t="str">
        <f t="shared" si="9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10"/>
        <v/>
      </c>
      <c r="G25" s="80" t="str">
        <f t="shared" si="3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4"/>
        <v/>
      </c>
      <c r="S25" s="75" t="str">
        <f t="shared" si="5"/>
        <v/>
      </c>
      <c r="T25" s="75" t="str">
        <f t="shared" si="6"/>
        <v/>
      </c>
      <c r="X25" s="75">
        <v>3234</v>
      </c>
      <c r="Y25" s="75" t="s">
        <v>90</v>
      </c>
      <c r="AA25" s="75" t="str">
        <f t="shared" si="7"/>
        <v>32</v>
      </c>
      <c r="AB25" s="75" t="str">
        <f t="shared" si="8"/>
        <v>323</v>
      </c>
      <c r="AD25" s="75" t="s">
        <v>1148</v>
      </c>
      <c r="AE25" s="75" t="s">
        <v>1149</v>
      </c>
      <c r="AF25" s="75" t="str">
        <f t="shared" si="9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10"/>
        <v/>
      </c>
      <c r="G26" s="80" t="str">
        <f t="shared" si="3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4"/>
        <v/>
      </c>
      <c r="S26" s="75" t="str">
        <f t="shared" si="5"/>
        <v/>
      </c>
      <c r="T26" s="75" t="str">
        <f t="shared" si="6"/>
        <v/>
      </c>
      <c r="X26" s="75">
        <v>3235</v>
      </c>
      <c r="Y26" s="75" t="s">
        <v>110</v>
      </c>
      <c r="AA26" s="75" t="str">
        <f t="shared" si="7"/>
        <v>32</v>
      </c>
      <c r="AB26" s="75" t="str">
        <f t="shared" si="8"/>
        <v>323</v>
      </c>
      <c r="AD26" s="75" t="s">
        <v>1150</v>
      </c>
      <c r="AE26" s="75" t="s">
        <v>1151</v>
      </c>
      <c r="AF26" s="75" t="str">
        <f t="shared" si="9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10"/>
        <v/>
      </c>
      <c r="G27" s="80" t="str">
        <f t="shared" si="3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4"/>
        <v/>
      </c>
      <c r="S27" s="75" t="str">
        <f t="shared" si="5"/>
        <v/>
      </c>
      <c r="T27" s="75" t="str">
        <f t="shared" si="6"/>
        <v/>
      </c>
      <c r="X27" s="75">
        <v>3236</v>
      </c>
      <c r="Y27" s="75" t="s">
        <v>53</v>
      </c>
      <c r="AA27" s="75" t="str">
        <f t="shared" si="7"/>
        <v>32</v>
      </c>
      <c r="AB27" s="75" t="str">
        <f t="shared" si="8"/>
        <v>323</v>
      </c>
      <c r="AD27" s="75" t="s">
        <v>1152</v>
      </c>
      <c r="AE27" s="75" t="s">
        <v>1153</v>
      </c>
      <c r="AF27" s="75" t="str">
        <f t="shared" si="9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10"/>
        <v/>
      </c>
      <c r="G28" s="80" t="str">
        <f t="shared" si="3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4"/>
        <v/>
      </c>
      <c r="S28" s="75" t="str">
        <f t="shared" si="5"/>
        <v/>
      </c>
      <c r="T28" s="75" t="str">
        <f t="shared" si="6"/>
        <v/>
      </c>
      <c r="X28" s="75">
        <v>3237</v>
      </c>
      <c r="Y28" s="75" t="s">
        <v>66</v>
      </c>
      <c r="AA28" s="75" t="str">
        <f t="shared" si="7"/>
        <v>32</v>
      </c>
      <c r="AB28" s="75" t="str">
        <f t="shared" si="8"/>
        <v>323</v>
      </c>
      <c r="AD28" s="75" t="s">
        <v>1154</v>
      </c>
      <c r="AE28" s="75" t="s">
        <v>1155</v>
      </c>
      <c r="AF28" s="75" t="str">
        <f t="shared" si="9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10"/>
        <v/>
      </c>
      <c r="G29" s="80" t="str">
        <f t="shared" si="3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4"/>
        <v/>
      </c>
      <c r="S29" s="75" t="str">
        <f t="shared" si="5"/>
        <v/>
      </c>
      <c r="T29" s="75" t="str">
        <f t="shared" si="6"/>
        <v/>
      </c>
      <c r="X29" s="75">
        <v>3238</v>
      </c>
      <c r="Y29" s="75" t="s">
        <v>103</v>
      </c>
      <c r="AA29" s="75" t="str">
        <f t="shared" si="7"/>
        <v>32</v>
      </c>
      <c r="AB29" s="75" t="str">
        <f t="shared" si="8"/>
        <v>323</v>
      </c>
      <c r="AD29" s="75" t="s">
        <v>1156</v>
      </c>
      <c r="AE29" s="75" t="s">
        <v>1157</v>
      </c>
      <c r="AF29" s="75" t="str">
        <f t="shared" si="9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10"/>
        <v/>
      </c>
      <c r="G30" s="80" t="str">
        <f t="shared" si="3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4"/>
        <v/>
      </c>
      <c r="S30" s="75" t="str">
        <f t="shared" si="5"/>
        <v/>
      </c>
      <c r="T30" s="75" t="str">
        <f t="shared" si="6"/>
        <v/>
      </c>
      <c r="X30" s="75">
        <v>3239</v>
      </c>
      <c r="Y30" s="75" t="s">
        <v>83</v>
      </c>
      <c r="AA30" s="75" t="str">
        <f t="shared" si="7"/>
        <v>32</v>
      </c>
      <c r="AB30" s="75" t="str">
        <f t="shared" si="8"/>
        <v>323</v>
      </c>
      <c r="AD30" s="75" t="s">
        <v>1158</v>
      </c>
      <c r="AE30" s="75" t="s">
        <v>1159</v>
      </c>
      <c r="AF30" s="75" t="str">
        <f t="shared" si="9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10"/>
        <v/>
      </c>
      <c r="G31" s="80" t="str">
        <f t="shared" si="3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4"/>
        <v/>
      </c>
      <c r="S31" s="75" t="str">
        <f t="shared" si="5"/>
        <v/>
      </c>
      <c r="T31" s="75" t="str">
        <f t="shared" si="6"/>
        <v/>
      </c>
      <c r="X31" s="75">
        <v>3241</v>
      </c>
      <c r="Y31" s="75" t="s">
        <v>80</v>
      </c>
      <c r="AA31" s="75" t="str">
        <f t="shared" si="7"/>
        <v>32</v>
      </c>
      <c r="AB31" s="75" t="str">
        <f t="shared" si="8"/>
        <v>324</v>
      </c>
      <c r="AD31" s="75" t="s">
        <v>1160</v>
      </c>
      <c r="AE31" s="75" t="s">
        <v>1161</v>
      </c>
      <c r="AF31" s="75" t="str">
        <f t="shared" si="9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10"/>
        <v/>
      </c>
      <c r="G32" s="80" t="str">
        <f t="shared" si="3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4"/>
        <v/>
      </c>
      <c r="S32" s="75" t="str">
        <f t="shared" si="5"/>
        <v/>
      </c>
      <c r="T32" s="75" t="str">
        <f t="shared" si="6"/>
        <v/>
      </c>
      <c r="X32" s="75">
        <v>3291</v>
      </c>
      <c r="Y32" s="75" t="s">
        <v>81</v>
      </c>
      <c r="AA32" s="75" t="str">
        <f t="shared" si="7"/>
        <v>32</v>
      </c>
      <c r="AB32" s="75" t="str">
        <f t="shared" si="8"/>
        <v>329</v>
      </c>
      <c r="AD32" s="75" t="s">
        <v>1162</v>
      </c>
      <c r="AE32" s="75" t="s">
        <v>1163</v>
      </c>
      <c r="AF32" s="75" t="str">
        <f t="shared" si="9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10"/>
        <v/>
      </c>
      <c r="G33" s="80" t="str">
        <f t="shared" si="3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4"/>
        <v/>
      </c>
      <c r="S33" s="75" t="str">
        <f t="shared" si="5"/>
        <v/>
      </c>
      <c r="T33" s="75" t="str">
        <f t="shared" si="6"/>
        <v/>
      </c>
      <c r="X33" s="75">
        <v>3292</v>
      </c>
      <c r="Y33" s="75" t="s">
        <v>74</v>
      </c>
      <c r="AA33" s="75" t="str">
        <f t="shared" si="7"/>
        <v>32</v>
      </c>
      <c r="AB33" s="75" t="str">
        <f t="shared" si="8"/>
        <v>329</v>
      </c>
      <c r="AD33" s="75" t="s">
        <v>1164</v>
      </c>
      <c r="AE33" s="75" t="s">
        <v>1165</v>
      </c>
      <c r="AF33" s="75" t="str">
        <f t="shared" si="9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10"/>
        <v/>
      </c>
      <c r="G34" s="80" t="str">
        <f t="shared" si="3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4"/>
        <v/>
      </c>
      <c r="S34" s="75" t="str">
        <f t="shared" si="5"/>
        <v/>
      </c>
      <c r="T34" s="75" t="str">
        <f t="shared" si="6"/>
        <v/>
      </c>
      <c r="X34" s="75">
        <v>3293</v>
      </c>
      <c r="Y34" s="75" t="s">
        <v>84</v>
      </c>
      <c r="AA34" s="75" t="str">
        <f t="shared" si="7"/>
        <v>32</v>
      </c>
      <c r="AB34" s="75" t="str">
        <f t="shared" si="8"/>
        <v>329</v>
      </c>
      <c r="AD34" s="75" t="s">
        <v>1166</v>
      </c>
      <c r="AE34" s="75" t="s">
        <v>1167</v>
      </c>
      <c r="AF34" s="75" t="str">
        <f t="shared" si="9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10"/>
        <v/>
      </c>
      <c r="G35" s="80" t="str">
        <f t="shared" si="3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4"/>
        <v/>
      </c>
      <c r="S35" s="75" t="str">
        <f t="shared" si="5"/>
        <v/>
      </c>
      <c r="T35" s="75" t="str">
        <f t="shared" si="6"/>
        <v/>
      </c>
      <c r="X35" s="75">
        <v>3293</v>
      </c>
      <c r="Y35" s="75" t="s">
        <v>131</v>
      </c>
      <c r="AA35" s="75" t="str">
        <f t="shared" si="7"/>
        <v>32</v>
      </c>
      <c r="AB35" s="75" t="str">
        <f t="shared" si="8"/>
        <v>329</v>
      </c>
      <c r="AD35" s="75" t="s">
        <v>1248</v>
      </c>
      <c r="AE35" s="75" t="s">
        <v>1188</v>
      </c>
      <c r="AF35" s="75" t="str">
        <f t="shared" si="9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10"/>
        <v/>
      </c>
      <c r="G36" s="80" t="str">
        <f t="shared" si="3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4"/>
        <v/>
      </c>
      <c r="S36" s="75" t="str">
        <f t="shared" si="5"/>
        <v/>
      </c>
      <c r="T36" s="75" t="str">
        <f t="shared" si="6"/>
        <v/>
      </c>
      <c r="X36" s="75">
        <v>3294</v>
      </c>
      <c r="Y36" s="75" t="s">
        <v>85</v>
      </c>
      <c r="AA36" s="75" t="str">
        <f t="shared" si="7"/>
        <v>32</v>
      </c>
      <c r="AB36" s="75" t="str">
        <f t="shared" si="8"/>
        <v>329</v>
      </c>
      <c r="AD36" s="75" t="s">
        <v>2012</v>
      </c>
      <c r="AE36" s="75" t="s">
        <v>2013</v>
      </c>
      <c r="AF36" s="75" t="str">
        <f t="shared" si="9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10"/>
        <v/>
      </c>
      <c r="G37" s="80" t="str">
        <f t="shared" si="3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4"/>
        <v/>
      </c>
      <c r="S37" s="75" t="str">
        <f t="shared" si="5"/>
        <v/>
      </c>
      <c r="T37" s="75" t="str">
        <f t="shared" si="6"/>
        <v/>
      </c>
      <c r="X37" s="75">
        <v>3295</v>
      </c>
      <c r="Y37" s="75" t="s">
        <v>54</v>
      </c>
      <c r="AA37" s="75" t="str">
        <f t="shared" si="7"/>
        <v>32</v>
      </c>
      <c r="AB37" s="75" t="str">
        <f t="shared" si="8"/>
        <v>329</v>
      </c>
      <c r="AD37" s="75" t="s">
        <v>699</v>
      </c>
      <c r="AE37" s="75" t="s">
        <v>700</v>
      </c>
      <c r="AF37" s="75" t="str">
        <f t="shared" si="9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10"/>
        <v/>
      </c>
      <c r="G38" s="80" t="str">
        <f t="shared" si="3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4"/>
        <v/>
      </c>
      <c r="S38" s="75" t="str">
        <f t="shared" si="5"/>
        <v/>
      </c>
      <c r="T38" s="75" t="str">
        <f t="shared" si="6"/>
        <v/>
      </c>
      <c r="X38" s="75">
        <v>3296</v>
      </c>
      <c r="Y38" s="75" t="s">
        <v>148</v>
      </c>
      <c r="AA38" s="75" t="str">
        <f t="shared" si="7"/>
        <v>32</v>
      </c>
      <c r="AB38" s="75" t="str">
        <f t="shared" si="8"/>
        <v>329</v>
      </c>
      <c r="AD38" s="75" t="s">
        <v>701</v>
      </c>
      <c r="AE38" s="75" t="s">
        <v>702</v>
      </c>
      <c r="AF38" s="75" t="str">
        <f t="shared" si="9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10"/>
        <v/>
      </c>
      <c r="G39" s="80" t="str">
        <f t="shared" si="3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4"/>
        <v/>
      </c>
      <c r="S39" s="75" t="str">
        <f t="shared" si="5"/>
        <v/>
      </c>
      <c r="T39" s="75" t="str">
        <f t="shared" si="6"/>
        <v/>
      </c>
      <c r="X39" s="75">
        <v>3299</v>
      </c>
      <c r="Y39" s="75" t="s">
        <v>57</v>
      </c>
      <c r="AA39" s="75" t="str">
        <f t="shared" si="7"/>
        <v>32</v>
      </c>
      <c r="AB39" s="75" t="str">
        <f t="shared" si="8"/>
        <v>329</v>
      </c>
      <c r="AD39" s="75" t="s">
        <v>703</v>
      </c>
      <c r="AE39" s="75" t="s">
        <v>704</v>
      </c>
      <c r="AF39" s="75" t="str">
        <f t="shared" si="9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10"/>
        <v/>
      </c>
      <c r="G40" s="80" t="str">
        <f t="shared" si="3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4"/>
        <v/>
      </c>
      <c r="S40" s="75" t="str">
        <f t="shared" si="5"/>
        <v/>
      </c>
      <c r="T40" s="75" t="str">
        <f t="shared" si="6"/>
        <v/>
      </c>
      <c r="X40" s="75">
        <v>3411</v>
      </c>
      <c r="Y40" s="75" t="s">
        <v>186</v>
      </c>
      <c r="AA40" s="75" t="str">
        <f t="shared" si="7"/>
        <v>34</v>
      </c>
      <c r="AB40" s="75" t="str">
        <f t="shared" si="8"/>
        <v>341</v>
      </c>
      <c r="AD40" s="75" t="s">
        <v>705</v>
      </c>
      <c r="AE40" s="75" t="s">
        <v>706</v>
      </c>
      <c r="AF40" s="75" t="str">
        <f t="shared" si="9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10"/>
        <v/>
      </c>
      <c r="G41" s="80" t="str">
        <f t="shared" si="3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4"/>
        <v/>
      </c>
      <c r="S41" s="75" t="str">
        <f t="shared" si="5"/>
        <v/>
      </c>
      <c r="T41" s="75" t="str">
        <f t="shared" si="6"/>
        <v/>
      </c>
      <c r="X41" s="75">
        <v>3422</v>
      </c>
      <c r="Y41" s="75" t="s">
        <v>149</v>
      </c>
      <c r="AA41" s="75" t="str">
        <f t="shared" si="7"/>
        <v>34</v>
      </c>
      <c r="AB41" s="75" t="str">
        <f t="shared" si="8"/>
        <v>342</v>
      </c>
      <c r="AD41" s="75" t="s">
        <v>707</v>
      </c>
      <c r="AE41" s="75" t="s">
        <v>708</v>
      </c>
      <c r="AF41" s="75" t="str">
        <f t="shared" si="9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10"/>
        <v/>
      </c>
      <c r="G42" s="80" t="str">
        <f t="shared" si="3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4"/>
        <v/>
      </c>
      <c r="S42" s="75" t="str">
        <f t="shared" si="5"/>
        <v/>
      </c>
      <c r="T42" s="75" t="str">
        <f t="shared" si="6"/>
        <v/>
      </c>
      <c r="X42" s="75">
        <v>3423</v>
      </c>
      <c r="Y42" s="75" t="s">
        <v>149</v>
      </c>
      <c r="AA42" s="75" t="str">
        <f t="shared" si="7"/>
        <v>34</v>
      </c>
      <c r="AB42" s="75" t="str">
        <f t="shared" si="8"/>
        <v>342</v>
      </c>
      <c r="AD42" s="75" t="s">
        <v>3020</v>
      </c>
      <c r="AE42" s="75" t="s">
        <v>3021</v>
      </c>
      <c r="AF42" s="75" t="str">
        <f t="shared" si="9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10"/>
        <v/>
      </c>
      <c r="G43" s="80" t="str">
        <f t="shared" si="3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4"/>
        <v/>
      </c>
      <c r="S43" s="75" t="str">
        <f t="shared" si="5"/>
        <v/>
      </c>
      <c r="T43" s="75" t="str">
        <f t="shared" si="6"/>
        <v/>
      </c>
      <c r="X43" s="75">
        <v>3427</v>
      </c>
      <c r="Y43" s="75" t="s">
        <v>188</v>
      </c>
      <c r="AA43" s="75" t="str">
        <f t="shared" si="7"/>
        <v>34</v>
      </c>
      <c r="AB43" s="75" t="str">
        <f t="shared" si="8"/>
        <v>342</v>
      </c>
      <c r="AD43" s="75" t="s">
        <v>3022</v>
      </c>
      <c r="AE43" s="75" t="s">
        <v>3023</v>
      </c>
      <c r="AF43" s="75" t="str">
        <f t="shared" si="9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10"/>
        <v/>
      </c>
      <c r="G44" s="80" t="str">
        <f t="shared" si="3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4"/>
        <v/>
      </c>
      <c r="S44" s="75" t="str">
        <f t="shared" si="5"/>
        <v/>
      </c>
      <c r="T44" s="75" t="str">
        <f t="shared" si="6"/>
        <v/>
      </c>
      <c r="X44" s="75">
        <v>3431</v>
      </c>
      <c r="Y44" s="75" t="s">
        <v>82</v>
      </c>
      <c r="AA44" s="75" t="str">
        <f t="shared" si="7"/>
        <v>34</v>
      </c>
      <c r="AB44" s="75" t="str">
        <f t="shared" si="8"/>
        <v>343</v>
      </c>
      <c r="AD44" s="75" t="s">
        <v>3024</v>
      </c>
      <c r="AE44" s="75" t="s">
        <v>3025</v>
      </c>
      <c r="AF44" s="75" t="str">
        <f t="shared" si="9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10"/>
        <v/>
      </c>
      <c r="G45" s="80" t="str">
        <f t="shared" si="3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4"/>
        <v/>
      </c>
      <c r="S45" s="75" t="str">
        <f t="shared" si="5"/>
        <v/>
      </c>
      <c r="T45" s="75" t="str">
        <f t="shared" si="6"/>
        <v/>
      </c>
      <c r="X45" s="75">
        <v>3432</v>
      </c>
      <c r="Y45" s="75" t="s">
        <v>98</v>
      </c>
      <c r="AA45" s="75" t="str">
        <f t="shared" si="7"/>
        <v>34</v>
      </c>
      <c r="AB45" s="75" t="str">
        <f t="shared" si="8"/>
        <v>343</v>
      </c>
      <c r="AD45" s="75" t="s">
        <v>709</v>
      </c>
      <c r="AE45" s="75" t="s">
        <v>710</v>
      </c>
      <c r="AF45" s="75" t="str">
        <f t="shared" si="9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10"/>
        <v/>
      </c>
      <c r="G46" s="80" t="str">
        <f t="shared" si="3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4"/>
        <v/>
      </c>
      <c r="S46" s="75" t="str">
        <f t="shared" si="5"/>
        <v/>
      </c>
      <c r="T46" s="75" t="str">
        <f t="shared" si="6"/>
        <v/>
      </c>
      <c r="X46" s="75">
        <v>3433</v>
      </c>
      <c r="Y46" s="75" t="s">
        <v>136</v>
      </c>
      <c r="AA46" s="75" t="str">
        <f t="shared" si="7"/>
        <v>34</v>
      </c>
      <c r="AB46" s="75" t="str">
        <f t="shared" si="8"/>
        <v>343</v>
      </c>
      <c r="AD46" s="75" t="s">
        <v>1249</v>
      </c>
      <c r="AE46" s="75" t="s">
        <v>1250</v>
      </c>
      <c r="AF46" s="75" t="str">
        <f t="shared" si="9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10"/>
        <v/>
      </c>
      <c r="G47" s="80" t="str">
        <f t="shared" si="3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4"/>
        <v/>
      </c>
      <c r="S47" s="75" t="str">
        <f t="shared" si="5"/>
        <v/>
      </c>
      <c r="T47" s="75" t="str">
        <f t="shared" si="6"/>
        <v/>
      </c>
      <c r="X47" s="75">
        <v>3434</v>
      </c>
      <c r="Y47" s="75" t="s">
        <v>67</v>
      </c>
      <c r="AA47" s="75" t="str">
        <f t="shared" si="7"/>
        <v>34</v>
      </c>
      <c r="AB47" s="75" t="str">
        <f t="shared" si="8"/>
        <v>343</v>
      </c>
      <c r="AD47" s="75" t="s">
        <v>1251</v>
      </c>
      <c r="AE47" s="75" t="s">
        <v>1252</v>
      </c>
      <c r="AF47" s="75" t="str">
        <f t="shared" si="9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10"/>
        <v/>
      </c>
      <c r="G48" s="80" t="str">
        <f t="shared" si="3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4"/>
        <v/>
      </c>
      <c r="S48" s="75" t="str">
        <f t="shared" si="5"/>
        <v/>
      </c>
      <c r="T48" s="75" t="str">
        <f t="shared" si="6"/>
        <v/>
      </c>
      <c r="X48" s="75">
        <v>3511</v>
      </c>
      <c r="Y48" s="75" t="s">
        <v>179</v>
      </c>
      <c r="AA48" s="75" t="str">
        <f t="shared" si="7"/>
        <v>35</v>
      </c>
      <c r="AB48" s="75" t="str">
        <f t="shared" si="8"/>
        <v>351</v>
      </c>
      <c r="AD48" s="75" t="s">
        <v>1253</v>
      </c>
      <c r="AE48" s="75" t="s">
        <v>1254</v>
      </c>
      <c r="AF48" s="75" t="str">
        <f t="shared" si="9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10"/>
        <v/>
      </c>
      <c r="G49" s="80" t="str">
        <f t="shared" si="3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4"/>
        <v/>
      </c>
      <c r="S49" s="75" t="str">
        <f t="shared" si="5"/>
        <v/>
      </c>
      <c r="T49" s="75" t="str">
        <f t="shared" si="6"/>
        <v/>
      </c>
      <c r="X49" s="75">
        <v>3512</v>
      </c>
      <c r="Y49" s="75" t="s">
        <v>181</v>
      </c>
      <c r="AA49" s="75" t="str">
        <f t="shared" si="7"/>
        <v>35</v>
      </c>
      <c r="AB49" s="75" t="str">
        <f t="shared" si="8"/>
        <v>351</v>
      </c>
      <c r="AD49" s="75" t="s">
        <v>1255</v>
      </c>
      <c r="AE49" s="75" t="s">
        <v>1256</v>
      </c>
      <c r="AF49" s="75" t="str">
        <f t="shared" si="9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10"/>
        <v/>
      </c>
      <c r="G50" s="80" t="str">
        <f t="shared" si="3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4"/>
        <v/>
      </c>
      <c r="S50" s="75" t="str">
        <f t="shared" si="5"/>
        <v/>
      </c>
      <c r="T50" s="75" t="str">
        <f t="shared" si="6"/>
        <v/>
      </c>
      <c r="X50" s="75">
        <v>3522</v>
      </c>
      <c r="Y50" s="75" t="s">
        <v>234</v>
      </c>
      <c r="AA50" s="75" t="str">
        <f t="shared" si="7"/>
        <v>35</v>
      </c>
      <c r="AB50" s="75" t="str">
        <f t="shared" si="8"/>
        <v>352</v>
      </c>
      <c r="AD50" s="75" t="s">
        <v>1257</v>
      </c>
      <c r="AE50" s="75" t="s">
        <v>1258</v>
      </c>
      <c r="AF50" s="75" t="str">
        <f t="shared" si="9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10"/>
        <v/>
      </c>
      <c r="G51" s="80" t="str">
        <f t="shared" si="3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4"/>
        <v/>
      </c>
      <c r="S51" s="75" t="str">
        <f t="shared" si="5"/>
        <v/>
      </c>
      <c r="T51" s="75" t="str">
        <f t="shared" si="6"/>
        <v/>
      </c>
      <c r="X51" s="75">
        <v>3531</v>
      </c>
      <c r="Y51" s="75" t="s">
        <v>133</v>
      </c>
      <c r="AA51" s="75" t="str">
        <f t="shared" si="7"/>
        <v>35</v>
      </c>
      <c r="AB51" s="75" t="str">
        <f t="shared" si="8"/>
        <v>353</v>
      </c>
      <c r="AD51" s="75" t="s">
        <v>1259</v>
      </c>
      <c r="AE51" s="75" t="s">
        <v>1260</v>
      </c>
      <c r="AF51" s="75" t="str">
        <f t="shared" si="9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10"/>
        <v/>
      </c>
      <c r="G52" s="80" t="str">
        <f t="shared" si="3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4"/>
        <v/>
      </c>
      <c r="S52" s="75" t="str">
        <f t="shared" si="5"/>
        <v/>
      </c>
      <c r="T52" s="75" t="str">
        <f t="shared" si="6"/>
        <v/>
      </c>
      <c r="X52" s="75">
        <v>3611</v>
      </c>
      <c r="Y52" s="75" t="s">
        <v>87</v>
      </c>
      <c r="AA52" s="75" t="str">
        <f t="shared" si="7"/>
        <v>36</v>
      </c>
      <c r="AB52" s="75" t="str">
        <f t="shared" si="8"/>
        <v>361</v>
      </c>
      <c r="AD52" s="75" t="s">
        <v>1261</v>
      </c>
      <c r="AE52" s="75" t="s">
        <v>1262</v>
      </c>
      <c r="AF52" s="75" t="str">
        <f t="shared" si="9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10"/>
        <v/>
      </c>
      <c r="G53" s="80" t="str">
        <f t="shared" si="3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4"/>
        <v/>
      </c>
      <c r="S53" s="75" t="str">
        <f t="shared" si="5"/>
        <v/>
      </c>
      <c r="T53" s="75" t="str">
        <f t="shared" si="6"/>
        <v/>
      </c>
      <c r="X53" s="75">
        <v>3621</v>
      </c>
      <c r="Y53" s="75" t="s">
        <v>137</v>
      </c>
      <c r="AA53" s="75" t="str">
        <f t="shared" si="7"/>
        <v>36</v>
      </c>
      <c r="AB53" s="75" t="str">
        <f t="shared" si="8"/>
        <v>362</v>
      </c>
      <c r="AD53" s="75" t="s">
        <v>1263</v>
      </c>
      <c r="AE53" s="75" t="s">
        <v>1264</v>
      </c>
      <c r="AF53" s="75" t="str">
        <f t="shared" si="9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10"/>
        <v/>
      </c>
      <c r="G54" s="80" t="str">
        <f t="shared" si="3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4"/>
        <v/>
      </c>
      <c r="S54" s="75" t="str">
        <f t="shared" si="5"/>
        <v/>
      </c>
      <c r="T54" s="75" t="str">
        <f t="shared" si="6"/>
        <v/>
      </c>
      <c r="X54" s="75">
        <v>3631</v>
      </c>
      <c r="Y54" s="75" t="s">
        <v>178</v>
      </c>
      <c r="AA54" s="75" t="str">
        <f t="shared" si="7"/>
        <v>36</v>
      </c>
      <c r="AB54" s="75" t="str">
        <f t="shared" si="8"/>
        <v>363</v>
      </c>
      <c r="AD54" s="75" t="s">
        <v>1265</v>
      </c>
      <c r="AE54" s="75" t="s">
        <v>1266</v>
      </c>
      <c r="AF54" s="75" t="str">
        <f t="shared" si="9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10"/>
        <v/>
      </c>
      <c r="G55" s="80" t="str">
        <f t="shared" si="3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4"/>
        <v/>
      </c>
      <c r="S55" s="75" t="str">
        <f t="shared" si="5"/>
        <v/>
      </c>
      <c r="T55" s="75" t="str">
        <f t="shared" si="6"/>
        <v/>
      </c>
      <c r="X55" s="75">
        <v>3632</v>
      </c>
      <c r="Y55" s="75" t="s">
        <v>235</v>
      </c>
      <c r="AA55" s="75" t="str">
        <f t="shared" si="7"/>
        <v>36</v>
      </c>
      <c r="AB55" s="75" t="str">
        <f t="shared" si="8"/>
        <v>363</v>
      </c>
      <c r="AD55" s="75" t="s">
        <v>1267</v>
      </c>
      <c r="AE55" s="75" t="s">
        <v>1268</v>
      </c>
      <c r="AF55" s="75" t="str">
        <f t="shared" si="9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10"/>
        <v/>
      </c>
      <c r="G56" s="80" t="str">
        <f t="shared" si="3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4"/>
        <v/>
      </c>
      <c r="S56" s="75" t="str">
        <f t="shared" si="5"/>
        <v/>
      </c>
      <c r="T56" s="75" t="str">
        <f t="shared" si="6"/>
        <v/>
      </c>
      <c r="X56" s="75">
        <v>3661</v>
      </c>
      <c r="Y56" s="75" t="s">
        <v>99</v>
      </c>
      <c r="AA56" s="75" t="str">
        <f t="shared" si="7"/>
        <v>36</v>
      </c>
      <c r="AB56" s="75" t="str">
        <f t="shared" si="8"/>
        <v>366</v>
      </c>
      <c r="AD56" s="75" t="s">
        <v>1269</v>
      </c>
      <c r="AE56" s="75" t="s">
        <v>1270</v>
      </c>
      <c r="AF56" s="75" t="str">
        <f t="shared" si="9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10"/>
        <v/>
      </c>
      <c r="G57" s="80" t="str">
        <f t="shared" si="3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4"/>
        <v/>
      </c>
      <c r="S57" s="75" t="str">
        <f t="shared" si="5"/>
        <v/>
      </c>
      <c r="T57" s="75" t="str">
        <f t="shared" si="6"/>
        <v/>
      </c>
      <c r="X57" s="75">
        <v>3662</v>
      </c>
      <c r="Y57" s="75" t="s">
        <v>182</v>
      </c>
      <c r="AA57" s="75" t="str">
        <f t="shared" si="7"/>
        <v>36</v>
      </c>
      <c r="AB57" s="75" t="str">
        <f t="shared" si="8"/>
        <v>366</v>
      </c>
      <c r="AD57" s="75" t="s">
        <v>3026</v>
      </c>
      <c r="AE57" s="75" t="s">
        <v>3027</v>
      </c>
      <c r="AF57" s="75" t="str">
        <f t="shared" si="9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10"/>
        <v/>
      </c>
      <c r="G58" s="80" t="str">
        <f t="shared" si="3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4"/>
        <v/>
      </c>
      <c r="S58" s="75" t="str">
        <f t="shared" si="5"/>
        <v/>
      </c>
      <c r="T58" s="75" t="str">
        <f t="shared" si="6"/>
        <v/>
      </c>
      <c r="X58" s="75">
        <v>3681</v>
      </c>
      <c r="Y58" s="75" t="s">
        <v>26</v>
      </c>
      <c r="AA58" s="75" t="str">
        <f t="shared" si="7"/>
        <v>36</v>
      </c>
      <c r="AB58" s="75" t="str">
        <f t="shared" si="8"/>
        <v>368</v>
      </c>
      <c r="AD58" s="75" t="s">
        <v>2014</v>
      </c>
      <c r="AE58" s="75" t="s">
        <v>2015</v>
      </c>
      <c r="AF58" s="75" t="str">
        <f t="shared" si="9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10"/>
        <v/>
      </c>
      <c r="G59" s="80" t="str">
        <f t="shared" si="3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4"/>
        <v/>
      </c>
      <c r="S59" s="75" t="str">
        <f t="shared" si="5"/>
        <v/>
      </c>
      <c r="T59" s="75" t="str">
        <f t="shared" si="6"/>
        <v/>
      </c>
      <c r="X59" s="75">
        <v>3682</v>
      </c>
      <c r="Y59" s="75" t="s">
        <v>27</v>
      </c>
      <c r="AA59" s="75" t="str">
        <f t="shared" si="7"/>
        <v>36</v>
      </c>
      <c r="AB59" s="75" t="str">
        <f t="shared" si="8"/>
        <v>368</v>
      </c>
      <c r="AD59" s="75" t="s">
        <v>2016</v>
      </c>
      <c r="AE59" s="75" t="s">
        <v>2017</v>
      </c>
      <c r="AF59" s="75" t="str">
        <f t="shared" si="9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10"/>
        <v/>
      </c>
      <c r="G60" s="80" t="str">
        <f t="shared" si="3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4"/>
        <v/>
      </c>
      <c r="S60" s="75" t="str">
        <f t="shared" si="5"/>
        <v/>
      </c>
      <c r="T60" s="75" t="str">
        <f t="shared" si="6"/>
        <v/>
      </c>
      <c r="X60" s="75">
        <v>3691</v>
      </c>
      <c r="Y60" s="75" t="s">
        <v>104</v>
      </c>
      <c r="AA60" s="75" t="str">
        <f t="shared" si="7"/>
        <v>36</v>
      </c>
      <c r="AB60" s="75" t="str">
        <f t="shared" si="8"/>
        <v>369</v>
      </c>
      <c r="AD60" s="75" t="s">
        <v>2018</v>
      </c>
      <c r="AE60" s="75" t="s">
        <v>2019</v>
      </c>
      <c r="AF60" s="75" t="str">
        <f t="shared" si="9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10"/>
        <v/>
      </c>
      <c r="G61" s="80" t="str">
        <f t="shared" si="3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4"/>
        <v/>
      </c>
      <c r="S61" s="75" t="str">
        <f t="shared" si="5"/>
        <v/>
      </c>
      <c r="T61" s="75" t="str">
        <f t="shared" si="6"/>
        <v/>
      </c>
      <c r="X61" s="75">
        <v>3692</v>
      </c>
      <c r="Y61" s="75" t="s">
        <v>176</v>
      </c>
      <c r="AA61" s="75" t="str">
        <f t="shared" si="7"/>
        <v>36</v>
      </c>
      <c r="AB61" s="75" t="str">
        <f t="shared" si="8"/>
        <v>369</v>
      </c>
      <c r="AD61" s="75" t="s">
        <v>2020</v>
      </c>
      <c r="AE61" s="75" t="s">
        <v>2021</v>
      </c>
      <c r="AF61" s="75" t="str">
        <f t="shared" si="9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10"/>
        <v/>
      </c>
      <c r="G62" s="80" t="str">
        <f t="shared" si="3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4"/>
        <v/>
      </c>
      <c r="S62" s="75" t="str">
        <f t="shared" si="5"/>
        <v/>
      </c>
      <c r="T62" s="75" t="str">
        <f t="shared" si="6"/>
        <v/>
      </c>
      <c r="X62" s="75">
        <v>3693</v>
      </c>
      <c r="Y62" s="75" t="s">
        <v>104</v>
      </c>
      <c r="AA62" s="75" t="str">
        <f t="shared" si="7"/>
        <v>36</v>
      </c>
      <c r="AB62" s="75" t="str">
        <f t="shared" si="8"/>
        <v>369</v>
      </c>
      <c r="AD62" s="75" t="s">
        <v>2022</v>
      </c>
      <c r="AE62" s="75" t="s">
        <v>2023</v>
      </c>
      <c r="AF62" s="75" t="str">
        <f t="shared" si="9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10"/>
        <v/>
      </c>
      <c r="G63" s="80" t="str">
        <f t="shared" si="3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4"/>
        <v/>
      </c>
      <c r="S63" s="75" t="str">
        <f t="shared" si="5"/>
        <v/>
      </c>
      <c r="T63" s="75" t="str">
        <f t="shared" si="6"/>
        <v/>
      </c>
      <c r="X63" s="75">
        <v>3694</v>
      </c>
      <c r="Y63" s="75" t="s">
        <v>176</v>
      </c>
      <c r="AA63" s="75" t="str">
        <f t="shared" si="7"/>
        <v>36</v>
      </c>
      <c r="AB63" s="75" t="str">
        <f t="shared" si="8"/>
        <v>369</v>
      </c>
      <c r="AD63" s="75" t="s">
        <v>2024</v>
      </c>
      <c r="AE63" s="75" t="s">
        <v>2025</v>
      </c>
      <c r="AF63" s="75" t="str">
        <f t="shared" si="9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10"/>
        <v/>
      </c>
      <c r="G64" s="80" t="str">
        <f t="shared" si="3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4"/>
        <v/>
      </c>
      <c r="S64" s="75" t="str">
        <f t="shared" si="5"/>
        <v/>
      </c>
      <c r="T64" s="75" t="str">
        <f t="shared" si="6"/>
        <v/>
      </c>
      <c r="X64" s="75">
        <v>3711</v>
      </c>
      <c r="Y64" s="75" t="s">
        <v>123</v>
      </c>
      <c r="AA64" s="75" t="str">
        <f t="shared" si="7"/>
        <v>37</v>
      </c>
      <c r="AB64" s="75" t="str">
        <f t="shared" si="8"/>
        <v>371</v>
      </c>
      <c r="AD64" s="75" t="s">
        <v>2026</v>
      </c>
      <c r="AE64" s="75" t="s">
        <v>2027</v>
      </c>
      <c r="AF64" s="75" t="str">
        <f t="shared" si="9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10"/>
        <v/>
      </c>
      <c r="G65" s="80" t="str">
        <f t="shared" si="3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4"/>
        <v/>
      </c>
      <c r="S65" s="75" t="str">
        <f t="shared" si="5"/>
        <v/>
      </c>
      <c r="T65" s="75" t="str">
        <f t="shared" si="6"/>
        <v/>
      </c>
      <c r="X65" s="75">
        <v>3712</v>
      </c>
      <c r="Y65" s="75" t="s">
        <v>141</v>
      </c>
      <c r="AA65" s="75" t="str">
        <f t="shared" si="7"/>
        <v>37</v>
      </c>
      <c r="AB65" s="75" t="str">
        <f t="shared" si="8"/>
        <v>371</v>
      </c>
      <c r="AD65" s="75" t="s">
        <v>2028</v>
      </c>
      <c r="AE65" s="75" t="s">
        <v>2029</v>
      </c>
      <c r="AF65" s="75" t="str">
        <f t="shared" si="9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10"/>
        <v/>
      </c>
      <c r="G66" s="80" t="str">
        <f t="shared" si="3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4"/>
        <v/>
      </c>
      <c r="S66" s="75" t="str">
        <f t="shared" si="5"/>
        <v/>
      </c>
      <c r="T66" s="75" t="str">
        <f t="shared" si="6"/>
        <v/>
      </c>
      <c r="X66" s="75">
        <v>3713</v>
      </c>
      <c r="Y66" s="75" t="s">
        <v>168</v>
      </c>
      <c r="AA66" s="75" t="str">
        <f t="shared" si="7"/>
        <v>37</v>
      </c>
      <c r="AB66" s="75" t="str">
        <f t="shared" si="8"/>
        <v>371</v>
      </c>
      <c r="AD66" s="75" t="s">
        <v>2030</v>
      </c>
      <c r="AE66" s="75" t="s">
        <v>2031</v>
      </c>
      <c r="AF66" s="75" t="str">
        <f t="shared" si="9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10"/>
        <v/>
      </c>
      <c r="G67" s="80" t="str">
        <f t="shared" si="3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4"/>
        <v/>
      </c>
      <c r="S67" s="75" t="str">
        <f t="shared" si="5"/>
        <v/>
      </c>
      <c r="T67" s="75" t="str">
        <f t="shared" si="6"/>
        <v/>
      </c>
      <c r="X67" s="75">
        <v>3714</v>
      </c>
      <c r="Y67" s="75" t="s">
        <v>189</v>
      </c>
      <c r="AA67" s="75" t="str">
        <f t="shared" si="7"/>
        <v>37</v>
      </c>
      <c r="AB67" s="75" t="str">
        <f t="shared" si="8"/>
        <v>371</v>
      </c>
      <c r="AD67" s="75" t="s">
        <v>2032</v>
      </c>
      <c r="AE67" s="75" t="s">
        <v>2033</v>
      </c>
      <c r="AF67" s="75" t="str">
        <f t="shared" si="9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7"/>
        <v>37</v>
      </c>
      <c r="AB68" s="75" t="str">
        <f t="shared" si="8"/>
        <v>371</v>
      </c>
      <c r="AD68" s="75" t="s">
        <v>2034</v>
      </c>
      <c r="AE68" s="75" t="s">
        <v>2035</v>
      </c>
      <c r="AF68" s="75" t="str">
        <f t="shared" si="9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8"/>
        <v>372</v>
      </c>
      <c r="AD69" s="75" t="s">
        <v>2036</v>
      </c>
      <c r="AE69" s="75" t="s">
        <v>2037</v>
      </c>
      <c r="AF69" s="75" t="str">
        <f t="shared" si="9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9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9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51" sqref="F51"/>
    </sheetView>
  </sheetViews>
  <sheetFormatPr defaultColWidth="11.44140625" defaultRowHeight="13.8"/>
  <cols>
    <col min="1" max="1" width="8.3320312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1" width="13.88671875" style="1" customWidth="1"/>
    <col min="22" max="22" width="7.88671875" style="1" customWidth="1"/>
    <col min="23" max="16384" width="11.44140625" style="1"/>
  </cols>
  <sheetData>
    <row r="1" spans="1:21" ht="15.6" customHeight="1">
      <c r="A1" s="386" t="s">
        <v>5078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</row>
    <row r="2" spans="1:21" ht="15.6" customHeight="1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</row>
    <row r="3" spans="1:21" ht="15.6" customHeight="1">
      <c r="A3" s="386" t="s">
        <v>5079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</row>
    <row r="4" spans="1:21" ht="15.6" customHeigh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</row>
    <row r="5" spans="1:21" ht="15.6" customHeight="1">
      <c r="A5" s="386" t="s">
        <v>5103</v>
      </c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</row>
    <row r="6" spans="1:21" s="38" customFormat="1" ht="14.4">
      <c r="A6" s="37"/>
      <c r="B6" s="37"/>
      <c r="C6" s="37"/>
      <c r="R6" s="39"/>
      <c r="U6" s="298" t="s">
        <v>5251</v>
      </c>
    </row>
    <row r="7" spans="1:21" s="38" customFormat="1" ht="96.6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 t="s">
        <v>5274</v>
      </c>
      <c r="B8" s="335" t="s">
        <v>5275</v>
      </c>
      <c r="C8" s="60">
        <f>SUM(D8:U8)</f>
        <v>5810452</v>
      </c>
      <c r="D8" s="60">
        <f>+D30+D27</f>
        <v>5415165</v>
      </c>
      <c r="E8" s="60">
        <f>+E30+E27</f>
        <v>0</v>
      </c>
      <c r="F8" s="60">
        <f>+F30+F27</f>
        <v>35529</v>
      </c>
      <c r="G8" s="60">
        <f t="shared" ref="G8:U8" si="0">+G30+G27</f>
        <v>0</v>
      </c>
      <c r="H8" s="60">
        <f t="shared" si="0"/>
        <v>358258</v>
      </c>
      <c r="I8" s="60">
        <f>+I30+I27</f>
        <v>0</v>
      </c>
      <c r="J8" s="60">
        <f t="shared" si="0"/>
        <v>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1500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primitaka'!$G$3:$G$502,'Unos prihoda i primitaka'!$C$3:$C$502,"=11",'Unos prihoda i primitaka'!$L$3:$L$502,"=61")</f>
        <v>0</v>
      </c>
      <c r="E9" s="120">
        <f>SUMIFS('Unos prihoda i primitaka'!$G$3:$G$502,'Unos prihoda i primitaka'!$C$3:$C$502,"=12",'Unos prihoda i primitaka'!$L$3:$L$502,"=61")</f>
        <v>0</v>
      </c>
      <c r="F9" s="120">
        <f>SUMIFS('Unos prihoda i primitaka'!$G$3:$G$502,'Unos prihoda i primitaka'!$C$3:$C$502,"=31",'Unos prihoda i primitaka'!$L$3:$L$502,"=61")</f>
        <v>0</v>
      </c>
      <c r="G9" s="120">
        <f>SUMIFS('Unos prihoda i primitaka'!$G$3:$G$502,'Unos prihoda i primitaka'!$C$3:$C$502,"=41",'Unos prihoda i primitaka'!$L$3:$L$502,"=61")</f>
        <v>0</v>
      </c>
      <c r="H9" s="120">
        <f>SUMIFS('Unos prihoda i primitaka'!$G$3:$G$502,'Unos prihoda i primitaka'!$C$3:$C$502,"=43",'Unos prihoda i primitaka'!$L$3:$L$502,"=61")</f>
        <v>0</v>
      </c>
      <c r="I9" s="120">
        <f>SUMIFS('Unos prihoda i primitaka'!$G$3:$G$502,'Unos prihoda i primitaka'!$C$3:$C$502,"=51",'Unos prihoda i primitaka'!$L$3:$L$502,"=61")</f>
        <v>0</v>
      </c>
      <c r="J9" s="120">
        <f>SUMIFS('Unos prihoda i primitaka'!$G$3:$G$502,'Unos prihoda i primitaka'!$C$3:$C$502,"=52",'Unos prihoda i primitaka'!$L$3:$L$502,"=61")</f>
        <v>0</v>
      </c>
      <c r="K9" s="120">
        <f>SUMIFS('Unos prihoda i primitaka'!$G$3:$G$502,'Unos prihoda i primitaka'!$C$3:$C$502,"=552",'Unos prihoda i primitaka'!$L$3:$L$502,"=61")</f>
        <v>0</v>
      </c>
      <c r="L9" s="120">
        <f>SUMIFS('Unos prihoda i primitaka'!$G$3:$G$502,'Unos prihoda i primitaka'!$C$3:$C$502,"=559",'Unos prihoda i primitaka'!$L$3:$L$502,"=61")</f>
        <v>0</v>
      </c>
      <c r="M9" s="120">
        <f>SUMIFS('Unos prihoda i primitaka'!$G$3:$G$502,'Unos prihoda i primitaka'!$C$3:$C$502,"=561",'Unos prihoda i primitaka'!$L$3:$L$502,"=61")</f>
        <v>0</v>
      </c>
      <c r="N9" s="120">
        <f>SUMIFS('Unos prihoda i primitaka'!$G$3:$G$502,'Unos prihoda i primitaka'!$C$3:$C$502,"=563",'Unos prihoda i primitaka'!$L$3:$L$502,"=61")</f>
        <v>0</v>
      </c>
      <c r="O9" s="120">
        <f>SUMIFS('Unos prihoda i primitaka'!$G$3:$G$502,'Unos prihoda i primitaka'!$C$3:$C$502,"=573",'Unos prihoda i primitaka'!$L$3:$L$502,"=61")</f>
        <v>0</v>
      </c>
      <c r="P9" s="120">
        <f>SUMIFS('Unos prihoda i primitaka'!$G$3:$G$502,'Unos prihoda i primitaka'!$C$3:$C$502,"=575",'Unos prihoda i primitaka'!$L$3:$L$502,"=61")</f>
        <v>0</v>
      </c>
      <c r="Q9" s="120">
        <f>SUMIFS('Unos prihoda i primitaka'!$G$3:$G$502,'Unos prihoda i primitaka'!$C$3:$C$502,"=576",'Unos prihoda i primitaka'!$L$3:$L$502,"=61")</f>
        <v>0</v>
      </c>
      <c r="R9" s="120">
        <f>SUMIFS('Unos prihoda i primitaka'!$G$3:$G$502,'Unos prihoda i primitaka'!$C$3:$C$502,"=581",'Unos prihoda i primitaka'!$L$3:$L$502,"=61")</f>
        <v>0</v>
      </c>
      <c r="S9" s="120">
        <f>SUMIFS('Unos prihoda i primitaka'!$G$3:$G$502,'Unos prihoda i primitaka'!$C$3:$C$502,"=61",'Unos prihoda i primitaka'!$L$3:$L$502,"=61")</f>
        <v>0</v>
      </c>
      <c r="T9" s="120">
        <f>SUMIFS('Unos prihoda i primitaka'!$G$3:$G$502,'Unos prihoda i primitaka'!$C$3:$C$502,"=63",'Unos prihoda i primitaka'!$L$3:$L$502,"=61")</f>
        <v>0</v>
      </c>
      <c r="U9" s="120">
        <f>SUMIFS('Unos prihoda i primitaka'!$G$3:$G$502,'Unos prihoda i primitaka'!$C$3:$C$502,"=71",'Unos prihoda i primitaka'!$L$3:$L$502,"=61")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0</v>
      </c>
      <c r="D10" s="120">
        <f>SUMIFS('Unos prihoda i primitaka'!$G$3:$G$502,'Unos prihoda i primitaka'!$C$3:$C$502,"=11",'Unos prihoda i primitaka'!$L$3:$L$502,"=63")</f>
        <v>0</v>
      </c>
      <c r="E10" s="120">
        <f>SUMIFS('Unos prihoda i primitaka'!$G$3:$G$502,'Unos prihoda i primitaka'!$C$3:$C$502,"=12",'Unos prihoda i primitaka'!$L$3:$L$502,"=63")</f>
        <v>0</v>
      </c>
      <c r="F10" s="120">
        <f>SUMIFS('Unos prihoda i primitaka'!$G$3:$G$502,'Unos prihoda i primitaka'!$C$3:$C$502,"=31",'Unos prihoda i primitaka'!$L$3:$L$502,"=63")</f>
        <v>0</v>
      </c>
      <c r="G10" s="120">
        <f>SUMIFS('Unos prihoda i primitaka'!$G$3:$G$502,'Unos prihoda i primitaka'!$C$3:$C$502,"=41",'Unos prihoda i primitaka'!$L$3:$L$502,"=63")</f>
        <v>0</v>
      </c>
      <c r="H10" s="120">
        <f>SUMIFS('Unos prihoda i primitaka'!$G$3:$G$502,'Unos prihoda i primitaka'!$C$3:$C$502,"=43",'Unos prihoda i primitaka'!$L$3:$L$502,"=63")</f>
        <v>0</v>
      </c>
      <c r="I10" s="120">
        <f>SUMIFS('Unos prihoda i primitaka'!$G$3:$G$502,'Unos prihoda i primitaka'!$C$3:$C$502,"=51",'Unos prihoda i primitaka'!$L$3:$L$502,"=63")</f>
        <v>0</v>
      </c>
      <c r="J10" s="120">
        <f>SUMIFS('Unos prihoda i primitaka'!$G$3:$G$502,'Unos prihoda i primitaka'!$C$3:$C$502,"=52",'Unos prihoda i primitaka'!$L$3:$L$502,"=63")</f>
        <v>0</v>
      </c>
      <c r="K10" s="120">
        <f>SUMIFS('Unos prihoda i primitaka'!$G$3:$G$502,'Unos prihoda i primitaka'!$C$3:$C$502,"=552",'Unos prihoda i primitaka'!$L$3:$L$502,"=63")</f>
        <v>0</v>
      </c>
      <c r="L10" s="120">
        <f>SUMIFS('Unos prihoda i primitaka'!$G$3:$G$502,'Unos prihoda i primitaka'!$C$3:$C$502,"=559",'Unos prihoda i primitaka'!$L$3:$L$502,"=63")</f>
        <v>0</v>
      </c>
      <c r="M10" s="120">
        <f>SUMIFS('Unos prihoda i primitaka'!$G$3:$G$502,'Unos prihoda i primitaka'!$C$3:$C$502,"=561",'Unos prihoda i primitaka'!$L$3:$L$502,"=63")</f>
        <v>0</v>
      </c>
      <c r="N10" s="120">
        <f>SUMIFS('Unos prihoda i primitaka'!$G$3:$G$502,'Unos prihoda i primitaka'!$C$3:$C$502,"=563",'Unos prihoda i primitaka'!$L$3:$L$502,"=63")</f>
        <v>0</v>
      </c>
      <c r="O10" s="120">
        <f>SUMIFS('Unos prihoda i primitaka'!$G$3:$G$502,'Unos prihoda i primitaka'!$C$3:$C$502,"=573",'Unos prihoda i primitaka'!$L$3:$L$502,"=63")</f>
        <v>0</v>
      </c>
      <c r="P10" s="120">
        <f>SUMIFS('Unos prihoda i primitaka'!$G$3:$G$502,'Unos prihoda i primitaka'!$C$3:$C$502,"=575",'Unos prihoda i primitaka'!$L$3:$L$502,"=63")</f>
        <v>0</v>
      </c>
      <c r="Q10" s="120">
        <f>SUMIFS('Unos prihoda i primitaka'!$G$3:$G$502,'Unos prihoda i primitaka'!$C$3:$C$502,"=576",'Unos prihoda i primitaka'!$L$3:$L$502,"=63")</f>
        <v>0</v>
      </c>
      <c r="R10" s="120">
        <f>SUMIFS('Unos prihoda i primitaka'!$G$3:$G$502,'Unos prihoda i primitaka'!$C$3:$C$502,"=581",'Unos prihoda i primitaka'!$L$3:$L$502,"=63")</f>
        <v>0</v>
      </c>
      <c r="S10" s="120">
        <f>SUMIFS('Unos prihoda i primitaka'!$G$3:$G$502,'Unos prihoda i primitaka'!$C$3:$C$502,"=61",'Unos prihoda i primitaka'!$L$3:$L$502,"=63")</f>
        <v>0</v>
      </c>
      <c r="T10" s="120">
        <f>SUMIFS('Unos prihoda i primitaka'!$G$3:$G$502,'Unos prihoda i primitaka'!$C$3:$C$502,"=63",'Unos prihoda i primitaka'!$L$3:$L$502,"=63")</f>
        <v>0</v>
      </c>
      <c r="U10" s="120">
        <f>SUMIFS('Unos prihoda i primitaka'!$G$3:$G$502,'Unos prihoda i primitaka'!$C$3:$C$502,"=71",'Unos prihoda i primitaka'!$L$3:$L$502,"=63")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primitaka'!$G$3:$G$502,'Unos prihoda i primitaka'!$C$3:$C$502,"=11",'Unos prihoda i primitaka'!$L$3:$L$502,"=64")</f>
        <v>0</v>
      </c>
      <c r="E14" s="120">
        <f>SUMIFS('Unos prihoda i primitaka'!$G$3:$G$502,'Unos prihoda i primitaka'!$C$3:$C$502,"=12",'Unos prihoda i primitaka'!$L$3:$L$502,"=64")</f>
        <v>0</v>
      </c>
      <c r="F14" s="120">
        <f>SUMIFS('Unos prihoda i primitaka'!$G$3:$G$502,'Unos prihoda i primitaka'!$C$3:$C$502,"=31",'Unos prihoda i primitaka'!$L$3:$L$502,"=64")</f>
        <v>0</v>
      </c>
      <c r="G14" s="120">
        <f>SUMIFS('Unos prihoda i primitaka'!$G$3:$G$502,'Unos prihoda i primitaka'!$C$3:$C$502,"=41",'Unos prihoda i primitaka'!$L$3:$L$502,"=64")</f>
        <v>0</v>
      </c>
      <c r="H14" s="120">
        <f>SUMIFS('Unos prihoda i primitaka'!$G$3:$G$502,'Unos prihoda i primitaka'!$C$3:$C$502,"=43",'Unos prihoda i primitaka'!$L$3:$L$502,"=64")</f>
        <v>0</v>
      </c>
      <c r="I14" s="120">
        <f>SUMIFS('Unos prihoda i primitaka'!$G$3:$G$502,'Unos prihoda i primitaka'!$C$3:$C$502,"=51",'Unos prihoda i primitaka'!$L$3:$L$502,"=64")</f>
        <v>0</v>
      </c>
      <c r="J14" s="120">
        <f>SUMIFS('Unos prihoda i primitaka'!$G$3:$G$502,'Unos prihoda i primitaka'!$C$3:$C$502,"=52",'Unos prihoda i primitaka'!$L$3:$L$502,"=64")</f>
        <v>0</v>
      </c>
      <c r="K14" s="120">
        <f>SUMIFS('Unos prihoda i primitaka'!$G$3:$G$502,'Unos prihoda i primitaka'!$C$3:$C$502,"=552",'Unos prihoda i primitaka'!$L$3:$L$502,"=64")</f>
        <v>0</v>
      </c>
      <c r="L14" s="120">
        <f>SUMIFS('Unos prihoda i primitaka'!$G$3:$G$502,'Unos prihoda i primitaka'!$C$3:$C$502,"=559",'Unos prihoda i primitaka'!$L$3:$L$502,"=64")</f>
        <v>0</v>
      </c>
      <c r="M14" s="120">
        <f>SUMIFS('Unos prihoda i primitaka'!$G$3:$G$502,'Unos prihoda i primitaka'!$C$3:$C$502,"=561",'Unos prihoda i primitaka'!$L$3:$L$502,"=64")</f>
        <v>0</v>
      </c>
      <c r="N14" s="120">
        <f>SUMIFS('Unos prihoda i primitaka'!$G$3:$G$502,'Unos prihoda i primitaka'!$C$3:$C$502,"=563",'Unos prihoda i primitaka'!$L$3:$L$502,"=64")</f>
        <v>0</v>
      </c>
      <c r="O14" s="120">
        <f>SUMIFS('Unos prihoda i primitaka'!$G$3:$G$502,'Unos prihoda i primitaka'!$C$3:$C$502,"=573",'Unos prihoda i primitaka'!$L$3:$L$502,"=64")</f>
        <v>0</v>
      </c>
      <c r="P14" s="120">
        <f>SUMIFS('Unos prihoda i primitaka'!$G$3:$G$502,'Unos prihoda i primitaka'!$C$3:$C$502,"=575",'Unos prihoda i primitaka'!$L$3:$L$502,"=64")</f>
        <v>0</v>
      </c>
      <c r="Q14" s="120">
        <f>SUMIFS('Unos prihoda i primitaka'!$G$3:$G$502,'Unos prihoda i primitaka'!$C$3:$C$502,"=576",'Unos prihoda i primitaka'!$L$3:$L$502,"=64")</f>
        <v>0</v>
      </c>
      <c r="R14" s="120">
        <f>SUMIFS('Unos prihoda i primitaka'!$G$3:$G$502,'Unos prihoda i primitaka'!$C$3:$C$502,"=581",'Unos prihoda i primitaka'!$L$3:$L$502,"=64")</f>
        <v>0</v>
      </c>
      <c r="S14" s="120">
        <f>SUMIFS('Unos prihoda i primitaka'!$G$3:$G$502,'Unos prihoda i primitaka'!$C$3:$C$502,"=61",'Unos prihoda i primitaka'!$L$3:$L$502,"=64")</f>
        <v>0</v>
      </c>
      <c r="T14" s="120">
        <f>SUMIFS('Unos prihoda i primitaka'!$G$3:$G$502,'Unos prihoda i primitaka'!$C$3:$C$502,"=63",'Unos prihoda i primitaka'!$L$3:$L$502,"=64")</f>
        <v>0</v>
      </c>
      <c r="U14" s="120">
        <f>SUMIFS('Unos prihoda i primitaka'!$G$3:$G$502,'Unos prihoda i primitaka'!$C$3:$C$502,"=71",'Unos prihoda i primitaka'!$L$3:$L$502,"=64")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7.6">
      <c r="A17" s="42" t="s">
        <v>5087</v>
      </c>
      <c r="B17" s="43" t="s">
        <v>5088</v>
      </c>
      <c r="C17" s="27">
        <f t="shared" si="1"/>
        <v>358258</v>
      </c>
      <c r="D17" s="120">
        <f>SUMIFS('Unos prihoda i primitaka'!$G$3:$G$502,'Unos prihoda i primitaka'!$C$3:$C$502,"=11",'Unos prihoda i primitaka'!$L$3:$L$502,"=65")</f>
        <v>0</v>
      </c>
      <c r="E17" s="120">
        <f>SUMIFS('Unos prihoda i primitaka'!$G$3:$G$502,'Unos prihoda i primitaka'!$C$3:$C$502,"=12",'Unos prihoda i primitaka'!$L$3:$L$502,"=65")</f>
        <v>0</v>
      </c>
      <c r="F17" s="120">
        <f>SUMIFS('Unos prihoda i primitaka'!$G$3:$G$502,'Unos prihoda i primitaka'!$C$3:$C$502,"=31",'Unos prihoda i primitaka'!$L$3:$L$502,"=65")</f>
        <v>0</v>
      </c>
      <c r="G17" s="120">
        <f>SUMIFS('Unos prihoda i primitaka'!$G$3:$G$502,'Unos prihoda i primitaka'!$C$3:$C$502,"=41",'Unos prihoda i primitaka'!$L$3:$L$502,"=65")</f>
        <v>0</v>
      </c>
      <c r="H17" s="120">
        <f>SUMIFS('Unos prihoda i primitaka'!$G$3:$G$502,'Unos prihoda i primitaka'!$C$3:$C$502,"=43",'Unos prihoda i primitaka'!$L$3:$L$502,"=65")</f>
        <v>358258</v>
      </c>
      <c r="I17" s="120">
        <f>SUMIFS('Unos prihoda i primitaka'!$G$3:$G$502,'Unos prihoda i primitaka'!$C$3:$C$502,"=51",'Unos prihoda i primitaka'!$L$3:$L$502,"=65")</f>
        <v>0</v>
      </c>
      <c r="J17" s="120">
        <f>SUMIFS('Unos prihoda i primitaka'!$G$3:$G$502,'Unos prihoda i primitaka'!$C$3:$C$502,"=52",'Unos prihoda i primitaka'!$L$3:$L$502,"=65")</f>
        <v>0</v>
      </c>
      <c r="K17" s="120">
        <f>SUMIFS('Unos prihoda i primitaka'!$G$3:$G$502,'Unos prihoda i primitaka'!$C$3:$C$502,"=552",'Unos prihoda i primitaka'!$L$3:$L$502,"=65")</f>
        <v>0</v>
      </c>
      <c r="L17" s="120">
        <f>SUMIFS('Unos prihoda i primitaka'!$G$3:$G$502,'Unos prihoda i primitaka'!$C$3:$C$502,"=559",'Unos prihoda i primitaka'!$L$3:$L$502,"=65")</f>
        <v>0</v>
      </c>
      <c r="M17" s="120">
        <f>SUMIFS('Unos prihoda i primitaka'!$G$3:$G$502,'Unos prihoda i primitaka'!$C$3:$C$502,"=561",'Unos prihoda i primitaka'!$L$3:$L$502,"=65")</f>
        <v>0</v>
      </c>
      <c r="N17" s="120">
        <f>SUMIFS('Unos prihoda i primitaka'!$G$3:$G$502,'Unos prihoda i primitaka'!$C$3:$C$502,"=563",'Unos prihoda i primitaka'!$L$3:$L$502,"=65")</f>
        <v>0</v>
      </c>
      <c r="O17" s="120">
        <f>SUMIFS('Unos prihoda i primitaka'!$G$3:$G$502,'Unos prihoda i primitaka'!$C$3:$C$502,"=573",'Unos prihoda i primitaka'!$L$3:$L$502,"=65")</f>
        <v>0</v>
      </c>
      <c r="P17" s="120">
        <f>SUMIFS('Unos prihoda i primitaka'!$G$3:$G$502,'Unos prihoda i primitaka'!$C$3:$C$502,"=575",'Unos prihoda i primitaka'!$L$3:$L$502,"=65")</f>
        <v>0</v>
      </c>
      <c r="Q17" s="120">
        <f>SUMIFS('Unos prihoda i primitaka'!$G$3:$G$502,'Unos prihoda i primitaka'!$C$3:$C$502,"=576",'Unos prihoda i primitaka'!$L$3:$L$502,"=65")</f>
        <v>0</v>
      </c>
      <c r="R17" s="120">
        <f>SUMIFS('Unos prihoda i primitaka'!$G$3:$G$502,'Unos prihoda i primitaka'!$C$3:$C$502,"=581",'Unos prihoda i primitaka'!$L$3:$L$502,"=65")</f>
        <v>0</v>
      </c>
      <c r="S17" s="120">
        <f>SUMIFS('Unos prihoda i primitaka'!$G$3:$G$502,'Unos prihoda i primitaka'!$C$3:$C$502,"=61",'Unos prihoda i primitaka'!$L$3:$L$502,"=65")</f>
        <v>0</v>
      </c>
      <c r="T17" s="120">
        <f>SUMIFS('Unos prihoda i primitaka'!$G$3:$G$502,'Unos prihoda i primitaka'!$C$3:$C$502,"=63",'Unos prihoda i primitaka'!$L$3:$L$502,"=65")</f>
        <v>0</v>
      </c>
      <c r="U17" s="120">
        <f>SUMIFS('Unos prihoda i primitaka'!$G$3:$G$502,'Unos prihoda i primitaka'!$C$3:$C$502,"=71",'Unos prihoda i primitaka'!$L$3:$L$502,"=65")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7.6">
      <c r="A21" s="138" t="s">
        <v>5090</v>
      </c>
      <c r="B21" s="43" t="s">
        <v>5089</v>
      </c>
      <c r="C21" s="27">
        <f t="shared" si="1"/>
        <v>37029</v>
      </c>
      <c r="D21" s="120">
        <f>SUMIFS('Unos prihoda i primitaka'!$G$3:$G$502,'Unos prihoda i primitaka'!$C$3:$C$502,"=11",'Unos prihoda i primitaka'!$L$3:$L$502,"=66")</f>
        <v>0</v>
      </c>
      <c r="E21" s="120">
        <f>SUMIFS('Unos prihoda i primitaka'!$G$3:$G$502,'Unos prihoda i primitaka'!$C$3:$C$502,"=12",'Unos prihoda i primitaka'!$L$3:$L$502,"=66")</f>
        <v>0</v>
      </c>
      <c r="F21" s="120">
        <f>SUMIFS('Unos prihoda i primitaka'!$G$3:$G$502,'Unos prihoda i primitaka'!$C$3:$C$502,"=31",'Unos prihoda i primitaka'!$L$3:$L$502,"=66")</f>
        <v>35529</v>
      </c>
      <c r="G21" s="120">
        <f>SUMIFS('Unos prihoda i primitaka'!$G$3:$G$502,'Unos prihoda i primitaka'!$C$3:$C$502,"=41",'Unos prihoda i primitaka'!$L$3:$L$502,"=66")</f>
        <v>0</v>
      </c>
      <c r="H21" s="120">
        <f>SUMIFS('Unos prihoda i primitaka'!$G$3:$G$502,'Unos prihoda i primitaka'!$C$3:$C$502,"=43",'Unos prihoda i primitaka'!$L$3:$L$502,"=66")</f>
        <v>0</v>
      </c>
      <c r="I21" s="120">
        <f>SUMIFS('Unos prihoda i primitaka'!$G$3:$G$502,'Unos prihoda i primitaka'!$C$3:$C$502,"=51",'Unos prihoda i primitaka'!$L$3:$L$502,"=66")</f>
        <v>0</v>
      </c>
      <c r="J21" s="120">
        <f>SUMIFS('Unos prihoda i primitaka'!$G$3:$G$502,'Unos prihoda i primitaka'!$C$3:$C$502,"=52",'Unos prihoda i primitaka'!$L$3:$L$502,"=66")</f>
        <v>0</v>
      </c>
      <c r="K21" s="120">
        <f>SUMIFS('Unos prihoda i primitaka'!$G$3:$G$502,'Unos prihoda i primitaka'!$C$3:$C$502,"=552",'Unos prihoda i primitaka'!$L$3:$L$502,"=66")</f>
        <v>0</v>
      </c>
      <c r="L21" s="120">
        <f>SUMIFS('Unos prihoda i primitaka'!$G$3:$G$502,'Unos prihoda i primitaka'!$C$3:$C$502,"=559",'Unos prihoda i primitaka'!$L$3:$L$502,"=66")</f>
        <v>0</v>
      </c>
      <c r="M21" s="120">
        <f>SUMIFS('Unos prihoda i primitaka'!$G$3:$G$502,'Unos prihoda i primitaka'!$C$3:$C$502,"=561",'Unos prihoda i primitaka'!$L$3:$L$502,"=66")</f>
        <v>0</v>
      </c>
      <c r="N21" s="120">
        <f>SUMIFS('Unos prihoda i primitaka'!$G$3:$G$502,'Unos prihoda i primitaka'!$C$3:$C$502,"=563",'Unos prihoda i primitaka'!$L$3:$L$502,"=66")</f>
        <v>0</v>
      </c>
      <c r="O21" s="120">
        <f>SUMIFS('Unos prihoda i primitaka'!$G$3:$G$502,'Unos prihoda i primitaka'!$C$3:$C$502,"=573",'Unos prihoda i primitaka'!$L$3:$L$502,"=66")</f>
        <v>0</v>
      </c>
      <c r="P21" s="120">
        <f>SUMIFS('Unos prihoda i primitaka'!$G$3:$G$502,'Unos prihoda i primitaka'!$C$3:$C$502,"=575",'Unos prihoda i primitaka'!$L$3:$L$502,"=66")</f>
        <v>0</v>
      </c>
      <c r="Q21" s="120">
        <f>SUMIFS('Unos prihoda i primitaka'!$G$3:$G$502,'Unos prihoda i primitaka'!$C$3:$C$502,"=576",'Unos prihoda i primitaka'!$L$3:$L$502,"=66")</f>
        <v>0</v>
      </c>
      <c r="R21" s="120">
        <f>SUMIFS('Unos prihoda i primitaka'!$G$3:$G$502,'Unos prihoda i primitaka'!$C$3:$C$502,"=581",'Unos prihoda i primitaka'!$L$3:$L$502,"=66")</f>
        <v>0</v>
      </c>
      <c r="S21" s="120">
        <f>SUMIFS('Unos prihoda i primitaka'!$G$3:$G$502,'Unos prihoda i primitaka'!$C$3:$C$502,"=61",'Unos prihoda i primitaka'!$L$3:$L$502,"=66")</f>
        <v>1500</v>
      </c>
      <c r="T21" s="120">
        <f>SUMIFS('Unos prihoda i primitaka'!$G$3:$G$502,'Unos prihoda i primitaka'!$C$3:$C$502,"=63",'Unos prihoda i primitaka'!$L$3:$L$502,"=66")</f>
        <v>0</v>
      </c>
      <c r="U21" s="120">
        <f>SUMIFS('Unos prihoda i primitaka'!$G$3:$G$502,'Unos prihoda i primitaka'!$C$3:$C$502,"=71",'Unos prihoda i primitaka'!$L$3:$L$502,"=66")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5415165</v>
      </c>
      <c r="D25" s="120">
        <f>SUMIFS('Unos prihoda i primitaka'!$G$3:$G$502,'Unos prihoda i primitaka'!$C$3:$C$502,"=11",'Unos prihoda i primitaka'!$L$3:$L$502,"=67")</f>
        <v>5415165</v>
      </c>
      <c r="E25" s="120">
        <f>SUMIFS('Unos prihoda i primitaka'!$G$3:$G$502,'Unos prihoda i primitaka'!$C$3:$C$502,"=12",'Unos prihoda i primitaka'!$L$3:$L$502,"=67")</f>
        <v>0</v>
      </c>
      <c r="F25" s="120">
        <f>SUMIFS('Unos prihoda i primitaka'!$G$3:$G$502,'Unos prihoda i primitaka'!$C$3:$C$502,"=31",'Unos prihoda i primitaka'!$L$3:$L$502,"=67")</f>
        <v>0</v>
      </c>
      <c r="G25" s="120">
        <f>SUMIFS('Unos prihoda i primitaka'!$G$3:$G$502,'Unos prihoda i primitaka'!$C$3:$C$502,"=41",'Unos prihoda i primitaka'!$L$3:$L$502,"=67")</f>
        <v>0</v>
      </c>
      <c r="H25" s="120">
        <f>SUMIFS('Unos prihoda i primitaka'!$G$3:$G$502,'Unos prihoda i primitaka'!$C$3:$C$502,"=43",'Unos prihoda i primitaka'!$L$3:$L$502,"=67")</f>
        <v>0</v>
      </c>
      <c r="I25" s="120">
        <f>SUMIFS('Unos prihoda i primitaka'!$G$3:$G$502,'Unos prihoda i primitaka'!$C$3:$C$502,"=51",'Unos prihoda i primitaka'!$L$3:$L$502,"=67")</f>
        <v>0</v>
      </c>
      <c r="J25" s="120">
        <f>SUMIFS('Unos prihoda i primitaka'!$G$3:$G$502,'Unos prihoda i primitaka'!$C$3:$C$502,"=52",'Unos prihoda i primitaka'!$L$3:$L$502,"=67")</f>
        <v>0</v>
      </c>
      <c r="K25" s="120">
        <f>SUMIFS('Unos prihoda i primitaka'!$G$3:$G$502,'Unos prihoda i primitaka'!$C$3:$C$502,"=552",'Unos prihoda i primitaka'!$L$3:$L$502,"=67")</f>
        <v>0</v>
      </c>
      <c r="L25" s="120">
        <f>SUMIFS('Unos prihoda i primitaka'!$G$3:$G$502,'Unos prihoda i primitaka'!$C$3:$C$502,"=559",'Unos prihoda i primitaka'!$L$3:$L$502,"=67")</f>
        <v>0</v>
      </c>
      <c r="M25" s="120">
        <f>SUMIFS('Unos prihoda i primitaka'!$G$3:$G$502,'Unos prihoda i primitaka'!$C$3:$C$502,"=561",'Unos prihoda i primitaka'!$L$3:$L$502,"=67")</f>
        <v>0</v>
      </c>
      <c r="N25" s="120">
        <f>SUMIFS('Unos prihoda i primitaka'!$G$3:$G$502,'Unos prihoda i primitaka'!$C$3:$C$502,"=563",'Unos prihoda i primitaka'!$L$3:$L$502,"=67")</f>
        <v>0</v>
      </c>
      <c r="O25" s="120">
        <f>SUMIFS('Unos prihoda i primitaka'!$G$3:$G$502,'Unos prihoda i primitaka'!$C$3:$C$502,"=573",'Unos prihoda i primitaka'!$L$3:$L$502,"=67")</f>
        <v>0</v>
      </c>
      <c r="P25" s="120">
        <f>SUMIFS('Unos prihoda i primitaka'!$G$3:$G$502,'Unos prihoda i primitaka'!$C$3:$C$502,"=575",'Unos prihoda i primitaka'!$L$3:$L$502,"=67")</f>
        <v>0</v>
      </c>
      <c r="Q25" s="120">
        <f>SUMIFS('Unos prihoda i primitaka'!$G$3:$G$502,'Unos prihoda i primitaka'!$C$3:$C$502,"=576",'Unos prihoda i primitaka'!$L$3:$L$502,"=67")</f>
        <v>0</v>
      </c>
      <c r="R25" s="120">
        <f>SUMIFS('Unos prihoda i primitaka'!$G$3:$G$502,'Unos prihoda i primitaka'!$C$3:$C$502,"=581",'Unos prihoda i primitaka'!$L$3:$L$502,"=67")</f>
        <v>0</v>
      </c>
      <c r="S25" s="120">
        <f>SUMIFS('Unos prihoda i primitaka'!$G$3:$G$502,'Unos prihoda i primitaka'!$C$3:$C$502,"=61",'Unos prihoda i primitaka'!$L$3:$L$502,"=67")</f>
        <v>0</v>
      </c>
      <c r="T25" s="120">
        <f>SUMIFS('Unos prihoda i primitaka'!$G$3:$G$502,'Unos prihoda i primitaka'!$C$3:$C$502,"=63",'Unos prihoda i primitaka'!$L$3:$L$502,"=67")</f>
        <v>0</v>
      </c>
      <c r="U25" s="120">
        <f>SUMIFS('Unos prihoda i primitaka'!$G$3:$G$502,'Unos prihoda i primitaka'!$C$3:$C$502,"=71",'Unos prihoda i primitaka'!$L$3:$L$502,"=67")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primitaka'!$G$3:$G$502,'Unos prihoda i primitaka'!$C$3:$C$502,"=11",'Unos prihoda i primitaka'!$L$3:$L$502,"=68")</f>
        <v>0</v>
      </c>
      <c r="E26" s="120">
        <f>SUMIFS('Unos prihoda i primitaka'!$G$3:$G$502,'Unos prihoda i primitaka'!$C$3:$C$502,"=12",'Unos prihoda i primitaka'!$L$3:$L$502,"=68")</f>
        <v>0</v>
      </c>
      <c r="F26" s="120">
        <f>SUMIFS('Unos prihoda i primitaka'!$G$3:$G$502,'Unos prihoda i primitaka'!$C$3:$C$502,"=31",'Unos prihoda i primitaka'!$L$3:$L$502,"=68")</f>
        <v>0</v>
      </c>
      <c r="G26" s="120">
        <f>SUMIFS('Unos prihoda i primitaka'!$G$3:$G$502,'Unos prihoda i primitaka'!$C$3:$C$502,"=41",'Unos prihoda i primitaka'!$L$3:$L$502,"=68")</f>
        <v>0</v>
      </c>
      <c r="H26" s="120">
        <f>SUMIFS('Unos prihoda i primitaka'!$G$3:$G$502,'Unos prihoda i primitaka'!$C$3:$C$502,"=43",'Unos prihoda i primitaka'!$L$3:$L$502,"=68")</f>
        <v>0</v>
      </c>
      <c r="I26" s="120">
        <f>SUMIFS('Unos prihoda i primitaka'!$G$3:$G$502,'Unos prihoda i primitaka'!$C$3:$C$502,"=51",'Unos prihoda i primitaka'!$L$3:$L$502,"=68")</f>
        <v>0</v>
      </c>
      <c r="J26" s="120">
        <f>SUMIFS('Unos prihoda i primitaka'!$G$3:$G$502,'Unos prihoda i primitaka'!$C$3:$C$502,"=52",'Unos prihoda i primitaka'!$L$3:$L$502,"=68")</f>
        <v>0</v>
      </c>
      <c r="K26" s="120">
        <f>SUMIFS('Unos prihoda i primitaka'!$G$3:$G$502,'Unos prihoda i primitaka'!$C$3:$C$502,"=552",'Unos prihoda i primitaka'!$L$3:$L$502,"=68")</f>
        <v>0</v>
      </c>
      <c r="L26" s="120">
        <f>SUMIFS('Unos prihoda i primitaka'!$G$3:$G$502,'Unos prihoda i primitaka'!$C$3:$C$502,"=559",'Unos prihoda i primitaka'!$L$3:$L$502,"=68")</f>
        <v>0</v>
      </c>
      <c r="M26" s="120">
        <f>SUMIFS('Unos prihoda i primitaka'!$G$3:$G$502,'Unos prihoda i primitaka'!$C$3:$C$502,"=561",'Unos prihoda i primitaka'!$L$3:$L$502,"=68")</f>
        <v>0</v>
      </c>
      <c r="N26" s="120">
        <f>SUMIFS('Unos prihoda i primitaka'!$G$3:$G$502,'Unos prihoda i primitaka'!$C$3:$C$502,"=563",'Unos prihoda i primitaka'!$L$3:$L$502,"=68")</f>
        <v>0</v>
      </c>
      <c r="O26" s="120">
        <f>SUMIFS('Unos prihoda i primitaka'!$G$3:$G$502,'Unos prihoda i primitaka'!$C$3:$C$502,"=573",'Unos prihoda i primitaka'!$L$3:$L$502,"=68")</f>
        <v>0</v>
      </c>
      <c r="P26" s="120">
        <f>SUMIFS('Unos prihoda i primitaka'!$G$3:$G$502,'Unos prihoda i primitaka'!$C$3:$C$502,"=575",'Unos prihoda i primitaka'!$L$3:$L$502,"=68")</f>
        <v>0</v>
      </c>
      <c r="Q26" s="120">
        <f>SUMIFS('Unos prihoda i primitaka'!$G$3:$G$502,'Unos prihoda i primitaka'!$C$3:$C$502,"=576",'Unos prihoda i primitaka'!$L$3:$L$502,"=68")</f>
        <v>0</v>
      </c>
      <c r="R26" s="120">
        <f>SUMIFS('Unos prihoda i primitaka'!$G$3:$G$502,'Unos prihoda i primitaka'!$C$3:$C$502,"=581",'Unos prihoda i primitaka'!$L$3:$L$502,"=68")</f>
        <v>0</v>
      </c>
      <c r="S26" s="120">
        <f>SUMIFS('Unos prihoda i primitaka'!$G$3:$G$502,'Unos prihoda i primitaka'!$C$3:$C$502,"=61",'Unos prihoda i primitaka'!$L$3:$L$502,"=68")</f>
        <v>0</v>
      </c>
      <c r="T26" s="120">
        <f>SUMIFS('Unos prihoda i primitaka'!$G$3:$G$502,'Unos prihoda i primitaka'!$C$3:$C$502,"=63",'Unos prihoda i primitaka'!$L$3:$L$502,"=68")</f>
        <v>0</v>
      </c>
      <c r="U26" s="120">
        <f>SUMIFS('Unos prihoda i primitaka'!$G$3:$G$502,'Unos prihoda i primitaka'!$C$3:$C$502,"=71",'Unos prihoda i primitaka'!$L$3:$L$502,"=68")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5810452</v>
      </c>
      <c r="D27" s="3">
        <f t="shared" ref="D27:U27" si="2">SUM(D9:D26)</f>
        <v>5415165</v>
      </c>
      <c r="E27" s="3">
        <f t="shared" si="2"/>
        <v>0</v>
      </c>
      <c r="F27" s="3">
        <f t="shared" si="2"/>
        <v>35529</v>
      </c>
      <c r="G27" s="3">
        <f t="shared" si="2"/>
        <v>0</v>
      </c>
      <c r="H27" s="3">
        <f t="shared" si="2"/>
        <v>358258</v>
      </c>
      <c r="I27" s="3">
        <f t="shared" si="2"/>
        <v>0</v>
      </c>
      <c r="J27" s="3">
        <f t="shared" si="2"/>
        <v>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1500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primitaka'!$G$3:$G$502,'Unos prihoda i primitaka'!$C$3:$C$502,"=11",'Unos prihoda i primitaka'!$L$3:$L$502,"=71")</f>
        <v>0</v>
      </c>
      <c r="E28" s="120">
        <f>SUMIFS('Unos prihoda i primitaka'!$G$3:$G$502,'Unos prihoda i primitaka'!$C$3:$C$502,"=12",'Unos prihoda i primitaka'!$L$3:$L$502,"=71")</f>
        <v>0</v>
      </c>
      <c r="F28" s="120">
        <f>SUMIFS('Unos prihoda i primitaka'!$G$3:$G$502,'Unos prihoda i primitaka'!$C$3:$C$502,"=31",'Unos prihoda i primitaka'!$L$3:$L$502,"=71")</f>
        <v>0</v>
      </c>
      <c r="G28" s="120">
        <f>SUMIFS('Unos prihoda i primitaka'!$G$3:$G$502,'Unos prihoda i primitaka'!$C$3:$C$502,"=41",'Unos prihoda i primitaka'!$L$3:$L$502,"=71")</f>
        <v>0</v>
      </c>
      <c r="H28" s="120">
        <f>SUMIFS('Unos prihoda i primitaka'!$G$3:$G$502,'Unos prihoda i primitaka'!$C$3:$C$502,"=43",'Unos prihoda i primitaka'!$L$3:$L$502,"=71")</f>
        <v>0</v>
      </c>
      <c r="I28" s="120">
        <f>SUMIFS('Unos prihoda i primitaka'!$G$3:$G$502,'Unos prihoda i primitaka'!$C$3:$C$502,"=51",'Unos prihoda i primitaka'!$L$3:$L$502,"=71")</f>
        <v>0</v>
      </c>
      <c r="J28" s="120">
        <f>SUMIFS('Unos prihoda i primitaka'!$G$3:$G$502,'Unos prihoda i primitaka'!$C$3:$C$502,"=52",'Unos prihoda i primitaka'!$L$3:$L$502,"=71")</f>
        <v>0</v>
      </c>
      <c r="K28" s="120">
        <f>SUMIFS('Unos prihoda i primitaka'!$G$3:$G$502,'Unos prihoda i primitaka'!$C$3:$C$502,"=552",'Unos prihoda i primitaka'!$L$3:$L$502,"=71")</f>
        <v>0</v>
      </c>
      <c r="L28" s="120">
        <f>SUMIFS('Unos prihoda i primitaka'!$G$3:$G$502,'Unos prihoda i primitaka'!$C$3:$C$502,"=559",'Unos prihoda i primitaka'!$L$3:$L$502,"=71")</f>
        <v>0</v>
      </c>
      <c r="M28" s="120">
        <f>SUMIFS('Unos prihoda i primitaka'!$G$3:$G$502,'Unos prihoda i primitaka'!$C$3:$C$502,"=561",'Unos prihoda i primitaka'!$L$3:$L$502,"=71")</f>
        <v>0</v>
      </c>
      <c r="N28" s="120">
        <f>SUMIFS('Unos prihoda i primitaka'!$G$3:$G$502,'Unos prihoda i primitaka'!$C$3:$C$502,"=563",'Unos prihoda i primitaka'!$L$3:$L$502,"=71")</f>
        <v>0</v>
      </c>
      <c r="O28" s="120">
        <f>SUMIFS('Unos prihoda i primitaka'!$G$3:$G$502,'Unos prihoda i primitaka'!$C$3:$C$502,"=573",'Unos prihoda i primitaka'!$L$3:$L$502,"=71")</f>
        <v>0</v>
      </c>
      <c r="P28" s="120">
        <f>SUMIFS('Unos prihoda i primitaka'!$G$3:$G$502,'Unos prihoda i primitaka'!$C$3:$C$502,"=575",'Unos prihoda i primitaka'!$L$3:$L$502,"=71")</f>
        <v>0</v>
      </c>
      <c r="Q28" s="120">
        <f>SUMIFS('Unos prihoda i primitaka'!$G$3:$G$502,'Unos prihoda i primitaka'!$C$3:$C$502,"=576",'Unos prihoda i primitaka'!$L$3:$L$502,"=71")</f>
        <v>0</v>
      </c>
      <c r="R28" s="120">
        <f>SUMIFS('Unos prihoda i primitaka'!$G$3:$G$502,'Unos prihoda i primitaka'!$C$3:$C$502,"=581",'Unos prihoda i primitaka'!$L$3:$L$502,"=71")</f>
        <v>0</v>
      </c>
      <c r="S28" s="120">
        <f>SUMIFS('Unos prihoda i primitaka'!$G$3:$G$502,'Unos prihoda i primitaka'!$C$3:$C$502,"=61",'Unos prihoda i primitaka'!$L$3:$L$502,"=71")</f>
        <v>0</v>
      </c>
      <c r="T28" s="120">
        <f>SUMIFS('Unos prihoda i primitaka'!$G$3:$G$502,'Unos prihoda i primitaka'!$C$3:$C$502,"=63",'Unos prihoda i primitaka'!$L$3:$L$502,"=71")</f>
        <v>0</v>
      </c>
      <c r="U28" s="120">
        <f>SUMIFS('Unos prihoda i primitaka'!$G$3:$G$502,'Unos prihoda i primitaka'!$C$3:$C$502,"=71",'Unos prihoda i primitaka'!$L$3:$L$502,"=71")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primitaka'!$G$3:$G$502,'Unos prihoda i primitaka'!$C$3:$C$502,"=11",'Unos prihoda i primitaka'!$L$3:$L$502,"=72")</f>
        <v>0</v>
      </c>
      <c r="E29" s="120">
        <f>SUMIFS('Unos prihoda i primitaka'!$G$3:$G$502,'Unos prihoda i primitaka'!$C$3:$C$502,"=12",'Unos prihoda i primitaka'!$L$3:$L$502,"=72")</f>
        <v>0</v>
      </c>
      <c r="F29" s="120">
        <f>SUMIFS('Unos prihoda i primitaka'!$G$3:$G$502,'Unos prihoda i primitaka'!$C$3:$C$502,"=31",'Unos prihoda i primitaka'!$L$3:$L$502,"=72")</f>
        <v>0</v>
      </c>
      <c r="G29" s="120">
        <f>SUMIFS('Unos prihoda i primitaka'!$G$3:$G$502,'Unos prihoda i primitaka'!$C$3:$C$502,"=41",'Unos prihoda i primitaka'!$L$3:$L$502,"=72")</f>
        <v>0</v>
      </c>
      <c r="H29" s="120">
        <f>SUMIFS('Unos prihoda i primitaka'!$G$3:$G$502,'Unos prihoda i primitaka'!$C$3:$C$502,"=43",'Unos prihoda i primitaka'!$L$3:$L$502,"=72")</f>
        <v>0</v>
      </c>
      <c r="I29" s="120">
        <f>SUMIFS('Unos prihoda i primitaka'!$G$3:$G$502,'Unos prihoda i primitaka'!$C$3:$C$502,"=51",'Unos prihoda i primitaka'!$L$3:$L$502,"=72")</f>
        <v>0</v>
      </c>
      <c r="J29" s="120">
        <f>SUMIFS('Unos prihoda i primitaka'!$G$3:$G$502,'Unos prihoda i primitaka'!$C$3:$C$502,"=52",'Unos prihoda i primitaka'!$L$3:$L$502,"=72")</f>
        <v>0</v>
      </c>
      <c r="K29" s="120">
        <f>SUMIFS('Unos prihoda i primitaka'!$G$3:$G$502,'Unos prihoda i primitaka'!$C$3:$C$502,"=552",'Unos prihoda i primitaka'!$L$3:$L$502,"=72")</f>
        <v>0</v>
      </c>
      <c r="L29" s="120">
        <f>SUMIFS('Unos prihoda i primitaka'!$G$3:$G$502,'Unos prihoda i primitaka'!$C$3:$C$502,"=559",'Unos prihoda i primitaka'!$L$3:$L$502,"=72")</f>
        <v>0</v>
      </c>
      <c r="M29" s="120">
        <f>SUMIFS('Unos prihoda i primitaka'!$G$3:$G$502,'Unos prihoda i primitaka'!$C$3:$C$502,"=561",'Unos prihoda i primitaka'!$L$3:$L$502,"=72")</f>
        <v>0</v>
      </c>
      <c r="N29" s="120">
        <f>SUMIFS('Unos prihoda i primitaka'!$G$3:$G$502,'Unos prihoda i primitaka'!$C$3:$C$502,"=563",'Unos prihoda i primitaka'!$L$3:$L$502,"=72")</f>
        <v>0</v>
      </c>
      <c r="O29" s="120">
        <f>SUMIFS('Unos prihoda i primitaka'!$G$3:$G$502,'Unos prihoda i primitaka'!$C$3:$C$502,"=573",'Unos prihoda i primitaka'!$L$3:$L$502,"=72")</f>
        <v>0</v>
      </c>
      <c r="P29" s="120">
        <f>SUMIFS('Unos prihoda i primitaka'!$G$3:$G$502,'Unos prihoda i primitaka'!$C$3:$C$502,"=575",'Unos prihoda i primitaka'!$L$3:$L$502,"=72")</f>
        <v>0</v>
      </c>
      <c r="Q29" s="120">
        <f>SUMIFS('Unos prihoda i primitaka'!$G$3:$G$502,'Unos prihoda i primitaka'!$C$3:$C$502,"=576",'Unos prihoda i primitaka'!$L$3:$L$502,"=72")</f>
        <v>0</v>
      </c>
      <c r="R29" s="120">
        <f>SUMIFS('Unos prihoda i primitaka'!$G$3:$G$502,'Unos prihoda i primitaka'!$C$3:$C$502,"=581",'Unos prihoda i primitaka'!$L$3:$L$502,"=72")</f>
        <v>0</v>
      </c>
      <c r="S29" s="120">
        <f>SUMIFS('Unos prihoda i primitaka'!$G$3:$G$502,'Unos prihoda i primitaka'!$C$3:$C$502,"=61",'Unos prihoda i primitaka'!$L$3:$L$502,"=72")</f>
        <v>0</v>
      </c>
      <c r="T29" s="120">
        <f>SUMIFS('Unos prihoda i primitaka'!$G$3:$G$502,'Unos prihoda i primitaka'!$C$3:$C$502,"=63",'Unos prihoda i primitaka'!$L$3:$L$502,"=72")</f>
        <v>0</v>
      </c>
      <c r="U29" s="120">
        <f>SUMIFS('Unos prihoda i primitaka'!$G$3:$G$502,'Unos prihoda i primitaka'!$C$3:$C$502,"=71",'Unos prihoda i primitaka'!$L$3:$L$502,"=72")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96.6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5264</v>
      </c>
      <c r="C33" s="60">
        <f>SUM(D33:U33)</f>
        <v>740239</v>
      </c>
      <c r="D33" s="60">
        <f t="shared" ref="D33:U33" si="4">+D44+D41</f>
        <v>667864</v>
      </c>
      <c r="E33" s="60">
        <f t="shared" si="4"/>
        <v>0</v>
      </c>
      <c r="F33" s="60">
        <f t="shared" si="4"/>
        <v>0</v>
      </c>
      <c r="G33" s="60">
        <f t="shared" si="4"/>
        <v>0</v>
      </c>
      <c r="H33" s="60">
        <f t="shared" si="4"/>
        <v>-32997</v>
      </c>
      <c r="I33" s="60">
        <f t="shared" si="4"/>
        <v>17111</v>
      </c>
      <c r="J33" s="60">
        <f t="shared" si="4"/>
        <v>89261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-1000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primitaka'!$H$3:$H$502,'Unos prihoda i primitaka'!$C$3:$C$502,"=11",'Unos prihoda i primitaka'!$L$3:$L$502,"=61")</f>
        <v>0</v>
      </c>
      <c r="E34" s="120">
        <f>SUMIFS('Unos prihoda i primitaka'!$H$3:$H$502,'Unos prihoda i primitaka'!$C$3:$C$502,"=12",'Unos prihoda i primitaka'!$L$3:$L$502,"=61")</f>
        <v>0</v>
      </c>
      <c r="F34" s="120">
        <f>SUMIFS('Unos prihoda i primitaka'!$H$3:$H$502,'Unos prihoda i primitaka'!$C$3:$C$502,"=31",'Unos prihoda i primitaka'!$L$3:$L$502,"=61")</f>
        <v>0</v>
      </c>
      <c r="G34" s="120">
        <f>SUMIFS('Unos prihoda i primitaka'!$H$3:$H$502,'Unos prihoda i primitaka'!$C$3:$C$502,"=41",'Unos prihoda i primitaka'!$L$3:$L$502,"=61")</f>
        <v>0</v>
      </c>
      <c r="H34" s="120">
        <f>SUMIFS('Unos prihoda i primitaka'!$H$3:$H$502,'Unos prihoda i primitaka'!$C$3:$C$502,"=43",'Unos prihoda i primitaka'!$L$3:$L$502,"=61")</f>
        <v>0</v>
      </c>
      <c r="I34" s="120">
        <f>SUMIFS('Unos prihoda i primitaka'!$H$3:$H$502,'Unos prihoda i primitaka'!$C$3:$C$502,"=51",'Unos prihoda i primitaka'!$L$3:$L$502,"=61")</f>
        <v>0</v>
      </c>
      <c r="J34" s="120">
        <f>SUMIFS('Unos prihoda i primitaka'!$H$3:$H$502,'Unos prihoda i primitaka'!$C$3:$C$502,"=52",'Unos prihoda i primitaka'!$L$3:$L$502,"=61")</f>
        <v>0</v>
      </c>
      <c r="K34" s="120">
        <f>SUMIFS('Unos prihoda i primitaka'!$H$3:$H$502,'Unos prihoda i primitaka'!$C$3:$C$502,"=552",'Unos prihoda i primitaka'!$L$3:$L$502,"=61")</f>
        <v>0</v>
      </c>
      <c r="L34" s="120">
        <f>SUMIFS('Unos prihoda i primitaka'!$H$3:$H$502,'Unos prihoda i primitaka'!$C$3:$C$502,"=559",'Unos prihoda i primitaka'!$L$3:$L$502,"=61")</f>
        <v>0</v>
      </c>
      <c r="M34" s="120">
        <f>SUMIFS('Unos prihoda i primitaka'!$H$3:$H$502,'Unos prihoda i primitaka'!$C$3:$C$502,"=561",'Unos prihoda i primitaka'!$L$3:$L$502,"=61")</f>
        <v>0</v>
      </c>
      <c r="N34" s="120">
        <f>SUMIFS('Unos prihoda i primitaka'!$H$3:$H$502,'Unos prihoda i primitaka'!$C$3:$C$502,"=563",'Unos prihoda i primitaka'!$L$3:$L$502,"=61")</f>
        <v>0</v>
      </c>
      <c r="O34" s="120">
        <f>SUMIFS('Unos prihoda i primitaka'!$H$3:$H$502,'Unos prihoda i primitaka'!$C$3:$C$502,"=573",'Unos prihoda i primitaka'!$L$3:$L$502,"=61")</f>
        <v>0</v>
      </c>
      <c r="P34" s="120">
        <f>SUMIFS('Unos prihoda i primitaka'!$H$3:$H$502,'Unos prihoda i primitaka'!$C$3:$C$502,"=575",'Unos prihoda i primitaka'!$L$3:$L$502,"=61")</f>
        <v>0</v>
      </c>
      <c r="Q34" s="120">
        <f>SUMIFS('Unos prihoda i primitaka'!$H$3:$H$502,'Unos prihoda i primitaka'!$C$3:$C$502,"=576",'Unos prihoda i primitaka'!$L$3:$L$502,"=61")</f>
        <v>0</v>
      </c>
      <c r="R34" s="120">
        <f>SUMIFS('Unos prihoda i primitaka'!$H$3:$H$502,'Unos prihoda i primitaka'!$C$3:$C$502,"=581",'Unos prihoda i primitaka'!$L$3:$L$502,"=61")</f>
        <v>0</v>
      </c>
      <c r="S34" s="120">
        <f>SUMIFS('Unos prihoda i primitaka'!$H$3:$H$502,'Unos prihoda i primitaka'!$C$3:$C$502,"=61",'Unos prihoda i primitaka'!$L$3:$L$502,"=61")</f>
        <v>0</v>
      </c>
      <c r="T34" s="120">
        <f>SUMIFS('Unos prihoda i primitaka'!$H$3:$H$502,'Unos prihoda i primitaka'!$C$3:$C$502,"=63",'Unos prihoda i primitaka'!$L$3:$L$502,"=61")</f>
        <v>0</v>
      </c>
      <c r="U34" s="120">
        <f>SUMIFS('Unos prihoda i primitaka'!$H$3:$H$502,'Unos prihoda i primitaka'!$C$3:$C$502,"=71",'Unos prihoda i primitaka'!$L$3:$L$502,"=61")</f>
        <v>0</v>
      </c>
    </row>
    <row r="35" spans="1:21" s="38" customFormat="1">
      <c r="A35" s="44" t="s">
        <v>5084</v>
      </c>
      <c r="B35" s="57" t="s">
        <v>5083</v>
      </c>
      <c r="C35" s="27">
        <f t="shared" si="5"/>
        <v>106372</v>
      </c>
      <c r="D35" s="120">
        <f>SUMIFS('Unos prihoda i primitaka'!$H$3:$H$502,'Unos prihoda i primitaka'!$C$3:$C$502,"=11",'Unos prihoda i primitaka'!$L$3:$L$502,"=63")</f>
        <v>0</v>
      </c>
      <c r="E35" s="120">
        <f>SUMIFS('Unos prihoda i primitaka'!$H$3:$H$502,'Unos prihoda i primitaka'!$C$3:$C$502,"=12",'Unos prihoda i primitaka'!$L$3:$L$502,"=63")</f>
        <v>0</v>
      </c>
      <c r="F35" s="120">
        <f>SUMIFS('Unos prihoda i primitaka'!$H$3:$H$502,'Unos prihoda i primitaka'!$C$3:$C$502,"=31",'Unos prihoda i primitaka'!$L$3:$L$502,"=63")</f>
        <v>0</v>
      </c>
      <c r="G35" s="120">
        <f>SUMIFS('Unos prihoda i primitaka'!$H$3:$H$502,'Unos prihoda i primitaka'!$C$3:$C$502,"=41",'Unos prihoda i primitaka'!$L$3:$L$502,"=63")</f>
        <v>0</v>
      </c>
      <c r="H35" s="120">
        <f>SUMIFS('Unos prihoda i primitaka'!$H$3:$H$502,'Unos prihoda i primitaka'!$C$3:$C$502,"=43",'Unos prihoda i primitaka'!$L$3:$L$502,"=63")</f>
        <v>0</v>
      </c>
      <c r="I35" s="120">
        <f>SUMIFS('Unos prihoda i primitaka'!$H$3:$H$502,'Unos prihoda i primitaka'!$C$3:$C$502,"=51",'Unos prihoda i primitaka'!$L$3:$L$502,"=63")</f>
        <v>17111</v>
      </c>
      <c r="J35" s="120">
        <f>SUMIFS('Unos prihoda i primitaka'!$H$3:$H$502,'Unos prihoda i primitaka'!$C$3:$C$502,"=52",'Unos prihoda i primitaka'!$L$3:$L$502,"=63")</f>
        <v>89261</v>
      </c>
      <c r="K35" s="120">
        <f>SUMIFS('Unos prihoda i primitaka'!$H$3:$H$502,'Unos prihoda i primitaka'!$C$3:$C$502,"=552",'Unos prihoda i primitaka'!$L$3:$L$502,"=63")</f>
        <v>0</v>
      </c>
      <c r="L35" s="120">
        <f>SUMIFS('Unos prihoda i primitaka'!$H$3:$H$502,'Unos prihoda i primitaka'!$C$3:$C$502,"=559",'Unos prihoda i primitaka'!$L$3:$L$502,"=63")</f>
        <v>0</v>
      </c>
      <c r="M35" s="120">
        <f>SUMIFS('Unos prihoda i primitaka'!$H$3:$H$502,'Unos prihoda i primitaka'!$C$3:$C$502,"=561",'Unos prihoda i primitaka'!$L$3:$L$502,"=63")</f>
        <v>0</v>
      </c>
      <c r="N35" s="120">
        <f>SUMIFS('Unos prihoda i primitaka'!$H$3:$H$502,'Unos prihoda i primitaka'!$C$3:$C$502,"=563",'Unos prihoda i primitaka'!$L$3:$L$502,"=63")</f>
        <v>0</v>
      </c>
      <c r="O35" s="120">
        <f>SUMIFS('Unos prihoda i primitaka'!$H$3:$H$502,'Unos prihoda i primitaka'!$C$3:$C$502,"=573",'Unos prihoda i primitaka'!$L$3:$L$502,"=63")</f>
        <v>0</v>
      </c>
      <c r="P35" s="120">
        <f>SUMIFS('Unos prihoda i primitaka'!$H$3:$H$502,'Unos prihoda i primitaka'!$C$3:$C$502,"=575",'Unos prihoda i primitaka'!$L$3:$L$502,"=63")</f>
        <v>0</v>
      </c>
      <c r="Q35" s="120">
        <f>SUMIFS('Unos prihoda i primitaka'!$H$3:$H$502,'Unos prihoda i primitaka'!$C$3:$C$502,"=576",'Unos prihoda i primitaka'!$L$3:$L$502,"=63")</f>
        <v>0</v>
      </c>
      <c r="R35" s="120">
        <f>SUMIFS('Unos prihoda i primitaka'!$H$3:$H$502,'Unos prihoda i primitaka'!$C$3:$C$502,"=581",'Unos prihoda i primitaka'!$L$3:$L$502,"=63")</f>
        <v>0</v>
      </c>
      <c r="S35" s="120">
        <f>SUMIFS('Unos prihoda i primitaka'!$H$3:$H$502,'Unos prihoda i primitaka'!$C$3:$C$502,"=61",'Unos prihoda i primitaka'!$L$3:$L$502,"=63")</f>
        <v>0</v>
      </c>
      <c r="T35" s="120">
        <f>SUMIFS('Unos prihoda i primitaka'!$H$3:$H$502,'Unos prihoda i primitaka'!$C$3:$C$502,"=63",'Unos prihoda i primitaka'!$L$3:$L$502,"=63")</f>
        <v>0</v>
      </c>
      <c r="U35" s="120">
        <f>SUMIFS('Unos prihoda i primitaka'!$H$3:$H$502,'Unos prihoda i primitaka'!$C$3:$C$502,"=71",'Unos prihoda i primitaka'!$L$3:$L$502,"=63")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primitaka'!$H$3:$H$502,'Unos prihoda i primitaka'!$C$3:$C$502,"=11",'Unos prihoda i primitaka'!$L$3:$L$502,"=64")</f>
        <v>0</v>
      </c>
      <c r="E36" s="120">
        <f>SUMIFS('Unos prihoda i primitaka'!$H$3:$H$502,'Unos prihoda i primitaka'!$C$3:$C$502,"=12",'Unos prihoda i primitaka'!$L$3:$L$502,"=64")</f>
        <v>0</v>
      </c>
      <c r="F36" s="120">
        <f>SUMIFS('Unos prihoda i primitaka'!$H$3:$H$502,'Unos prihoda i primitaka'!$C$3:$C$502,"=31",'Unos prihoda i primitaka'!$L$3:$L$502,"=64")</f>
        <v>0</v>
      </c>
      <c r="G36" s="120">
        <f>SUMIFS('Unos prihoda i primitaka'!$H$3:$H$502,'Unos prihoda i primitaka'!$C$3:$C$502,"=41",'Unos prihoda i primitaka'!$L$3:$L$502,"=64")</f>
        <v>0</v>
      </c>
      <c r="H36" s="120">
        <f>SUMIFS('Unos prihoda i primitaka'!$H$3:$H$502,'Unos prihoda i primitaka'!$C$3:$C$502,"=43",'Unos prihoda i primitaka'!$L$3:$L$502,"=64")</f>
        <v>0</v>
      </c>
      <c r="I36" s="120">
        <f>SUMIFS('Unos prihoda i primitaka'!$H$3:$H$502,'Unos prihoda i primitaka'!$C$3:$C$502,"=51",'Unos prihoda i primitaka'!$L$3:$L$502,"=64")</f>
        <v>0</v>
      </c>
      <c r="J36" s="120">
        <f>SUMIFS('Unos prihoda i primitaka'!$H$3:$H$502,'Unos prihoda i primitaka'!$C$3:$C$502,"=52",'Unos prihoda i primitaka'!$L$3:$L$502,"=64")</f>
        <v>0</v>
      </c>
      <c r="K36" s="120">
        <f>SUMIFS('Unos prihoda i primitaka'!$H$3:$H$502,'Unos prihoda i primitaka'!$C$3:$C$502,"=552",'Unos prihoda i primitaka'!$L$3:$L$502,"=64")</f>
        <v>0</v>
      </c>
      <c r="L36" s="120">
        <f>SUMIFS('Unos prihoda i primitaka'!$H$3:$H$502,'Unos prihoda i primitaka'!$C$3:$C$502,"=559",'Unos prihoda i primitaka'!$L$3:$L$502,"=64")</f>
        <v>0</v>
      </c>
      <c r="M36" s="120">
        <f>SUMIFS('Unos prihoda i primitaka'!$H$3:$H$502,'Unos prihoda i primitaka'!$C$3:$C$502,"=561",'Unos prihoda i primitaka'!$L$3:$L$502,"=64")</f>
        <v>0</v>
      </c>
      <c r="N36" s="120">
        <f>SUMIFS('Unos prihoda i primitaka'!$H$3:$H$502,'Unos prihoda i primitaka'!$C$3:$C$502,"=563",'Unos prihoda i primitaka'!$L$3:$L$502,"=64")</f>
        <v>0</v>
      </c>
      <c r="O36" s="120">
        <f>SUMIFS('Unos prihoda i primitaka'!$H$3:$H$502,'Unos prihoda i primitaka'!$C$3:$C$502,"=573",'Unos prihoda i primitaka'!$L$3:$L$502,"=64")</f>
        <v>0</v>
      </c>
      <c r="P36" s="120">
        <f>SUMIFS('Unos prihoda i primitaka'!$H$3:$H$502,'Unos prihoda i primitaka'!$C$3:$C$502,"=575",'Unos prihoda i primitaka'!$L$3:$L$502,"=64")</f>
        <v>0</v>
      </c>
      <c r="Q36" s="120">
        <f>SUMIFS('Unos prihoda i primitaka'!$H$3:$H$502,'Unos prihoda i primitaka'!$C$3:$C$502,"=576",'Unos prihoda i primitaka'!$L$3:$L$502,"=64")</f>
        <v>0</v>
      </c>
      <c r="R36" s="120">
        <f>SUMIFS('Unos prihoda i primitaka'!$H$3:$H$502,'Unos prihoda i primitaka'!$C$3:$C$502,"=581",'Unos prihoda i primitaka'!$L$3:$L$502,"=64")</f>
        <v>0</v>
      </c>
      <c r="S36" s="120">
        <f>SUMIFS('Unos prihoda i primitaka'!$H$3:$H$502,'Unos prihoda i primitaka'!$C$3:$C$502,"=61",'Unos prihoda i primitaka'!$L$3:$L$502,"=64")</f>
        <v>0</v>
      </c>
      <c r="T36" s="120">
        <f>SUMIFS('Unos prihoda i primitaka'!$H$3:$H$502,'Unos prihoda i primitaka'!$C$3:$C$502,"=63",'Unos prihoda i primitaka'!$L$3:$L$502,"=64")</f>
        <v>0</v>
      </c>
      <c r="U36" s="120">
        <f>SUMIFS('Unos prihoda i primitaka'!$H$3:$H$502,'Unos prihoda i primitaka'!$C$3:$C$502,"=71",'Unos prihoda i primitaka'!$L$3:$L$502,"=64")</f>
        <v>0</v>
      </c>
    </row>
    <row r="37" spans="1:21" s="38" customFormat="1" ht="27.6">
      <c r="A37" s="42" t="s">
        <v>5087</v>
      </c>
      <c r="B37" s="43" t="s">
        <v>5088</v>
      </c>
      <c r="C37" s="27">
        <f t="shared" si="5"/>
        <v>-32997</v>
      </c>
      <c r="D37" s="120">
        <f>SUMIFS('Unos prihoda i primitaka'!$H$3:$H$502,'Unos prihoda i primitaka'!$C$3:$C$502,"=11",'Unos prihoda i primitaka'!$L$3:$L$502,"=65")</f>
        <v>0</v>
      </c>
      <c r="E37" s="120">
        <f>SUMIFS('Unos prihoda i primitaka'!$H$3:$H$502,'Unos prihoda i primitaka'!$C$3:$C$502,"=12",'Unos prihoda i primitaka'!$L$3:$L$502,"=65")</f>
        <v>0</v>
      </c>
      <c r="F37" s="120">
        <f>SUMIFS('Unos prihoda i primitaka'!$H$3:$H$502,'Unos prihoda i primitaka'!$C$3:$C$502,"=31",'Unos prihoda i primitaka'!$L$3:$L$502,"=65")</f>
        <v>0</v>
      </c>
      <c r="G37" s="120">
        <f>SUMIFS('Unos prihoda i primitaka'!$H$3:$H$502,'Unos prihoda i primitaka'!$C$3:$C$502,"=41",'Unos prihoda i primitaka'!$L$3:$L$502,"=65")</f>
        <v>0</v>
      </c>
      <c r="H37" s="120">
        <f>SUMIFS('Unos prihoda i primitaka'!$H$3:$H$502,'Unos prihoda i primitaka'!$C$3:$C$502,"=43",'Unos prihoda i primitaka'!$L$3:$L$502,"=65")</f>
        <v>-32997</v>
      </c>
      <c r="I37" s="120">
        <f>SUMIFS('Unos prihoda i primitaka'!$H$3:$H$502,'Unos prihoda i primitaka'!$C$3:$C$502,"=51",'Unos prihoda i primitaka'!$L$3:$L$502,"=65")</f>
        <v>0</v>
      </c>
      <c r="J37" s="120">
        <f>SUMIFS('Unos prihoda i primitaka'!$H$3:$H$502,'Unos prihoda i primitaka'!$C$3:$C$502,"=52",'Unos prihoda i primitaka'!$L$3:$L$502,"=65")</f>
        <v>0</v>
      </c>
      <c r="K37" s="120">
        <f>SUMIFS('Unos prihoda i primitaka'!$H$3:$H$502,'Unos prihoda i primitaka'!$C$3:$C$502,"=552",'Unos prihoda i primitaka'!$L$3:$L$502,"=65")</f>
        <v>0</v>
      </c>
      <c r="L37" s="120">
        <f>SUMIFS('Unos prihoda i primitaka'!$H$3:$H$502,'Unos prihoda i primitaka'!$C$3:$C$502,"=559",'Unos prihoda i primitaka'!$L$3:$L$502,"=65")</f>
        <v>0</v>
      </c>
      <c r="M37" s="120">
        <f>SUMIFS('Unos prihoda i primitaka'!$H$3:$H$502,'Unos prihoda i primitaka'!$C$3:$C$502,"=561",'Unos prihoda i primitaka'!$L$3:$L$502,"=65")</f>
        <v>0</v>
      </c>
      <c r="N37" s="120">
        <f>SUMIFS('Unos prihoda i primitaka'!$H$3:$H$502,'Unos prihoda i primitaka'!$C$3:$C$502,"=563",'Unos prihoda i primitaka'!$L$3:$L$502,"=65")</f>
        <v>0</v>
      </c>
      <c r="O37" s="120">
        <f>SUMIFS('Unos prihoda i primitaka'!$H$3:$H$502,'Unos prihoda i primitaka'!$C$3:$C$502,"=573",'Unos prihoda i primitaka'!$L$3:$L$502,"=65")</f>
        <v>0</v>
      </c>
      <c r="P37" s="120">
        <f>SUMIFS('Unos prihoda i primitaka'!$H$3:$H$502,'Unos prihoda i primitaka'!$C$3:$C$502,"=575",'Unos prihoda i primitaka'!$L$3:$L$502,"=65")</f>
        <v>0</v>
      </c>
      <c r="Q37" s="120">
        <f>SUMIFS('Unos prihoda i primitaka'!$H$3:$H$502,'Unos prihoda i primitaka'!$C$3:$C$502,"=576",'Unos prihoda i primitaka'!$L$3:$L$502,"=65")</f>
        <v>0</v>
      </c>
      <c r="R37" s="120">
        <f>SUMIFS('Unos prihoda i primitaka'!$H$3:$H$502,'Unos prihoda i primitaka'!$C$3:$C$502,"=581",'Unos prihoda i primitaka'!$L$3:$L$502,"=65")</f>
        <v>0</v>
      </c>
      <c r="S37" s="120">
        <f>SUMIFS('Unos prihoda i primitaka'!$H$3:$H$502,'Unos prihoda i primitaka'!$C$3:$C$502,"=61",'Unos prihoda i primitaka'!$L$3:$L$502,"=65")</f>
        <v>0</v>
      </c>
      <c r="T37" s="120">
        <f>SUMIFS('Unos prihoda i primitaka'!$H$3:$H$502,'Unos prihoda i primitaka'!$C$3:$C$502,"=63",'Unos prihoda i primitaka'!$L$3:$L$502,"=65")</f>
        <v>0</v>
      </c>
      <c r="U37" s="120">
        <f>SUMIFS('Unos prihoda i primitaka'!$H$3:$H$502,'Unos prihoda i primitaka'!$C$3:$C$502,"=71",'Unos prihoda i primitaka'!$L$3:$L$502,"=65")</f>
        <v>0</v>
      </c>
    </row>
    <row r="38" spans="1:21" s="38" customFormat="1" ht="27.6">
      <c r="A38" s="138" t="s">
        <v>5090</v>
      </c>
      <c r="B38" s="43" t="s">
        <v>5089</v>
      </c>
      <c r="C38" s="27">
        <f t="shared" si="5"/>
        <v>-1000</v>
      </c>
      <c r="D38" s="120">
        <f>SUMIFS('Unos prihoda i primitaka'!$H$3:$H$502,'Unos prihoda i primitaka'!$C$3:$C$502,"=11",'Unos prihoda i primitaka'!$L$3:$L$502,"=66")</f>
        <v>0</v>
      </c>
      <c r="E38" s="120">
        <f>SUMIFS('Unos prihoda i primitaka'!$H$3:$H$502,'Unos prihoda i primitaka'!$C$3:$C$502,"=12",'Unos prihoda i primitaka'!$L$3:$L$502,"=66")</f>
        <v>0</v>
      </c>
      <c r="F38" s="120">
        <f>SUMIFS('Unos prihoda i primitaka'!$H$3:$H$502,'Unos prihoda i primitaka'!$C$3:$C$502,"=31",'Unos prihoda i primitaka'!$L$3:$L$502,"=66")</f>
        <v>0</v>
      </c>
      <c r="G38" s="120">
        <f>SUMIFS('Unos prihoda i primitaka'!$H$3:$H$502,'Unos prihoda i primitaka'!$C$3:$C$502,"=41",'Unos prihoda i primitaka'!$L$3:$L$502,"=66")</f>
        <v>0</v>
      </c>
      <c r="H38" s="120">
        <f>SUMIFS('Unos prihoda i primitaka'!$H$3:$H$502,'Unos prihoda i primitaka'!$C$3:$C$502,"=43",'Unos prihoda i primitaka'!$L$3:$L$502,"=66")</f>
        <v>0</v>
      </c>
      <c r="I38" s="120">
        <f>SUMIFS('Unos prihoda i primitaka'!$H$3:$H$502,'Unos prihoda i primitaka'!$C$3:$C$502,"=51",'Unos prihoda i primitaka'!$L$3:$L$502,"=66")</f>
        <v>0</v>
      </c>
      <c r="J38" s="120">
        <f>SUMIFS('Unos prihoda i primitaka'!$H$3:$H$502,'Unos prihoda i primitaka'!$C$3:$C$502,"=52",'Unos prihoda i primitaka'!$L$3:$L$502,"=66")</f>
        <v>0</v>
      </c>
      <c r="K38" s="120">
        <f>SUMIFS('Unos prihoda i primitaka'!$H$3:$H$502,'Unos prihoda i primitaka'!$C$3:$C$502,"=552",'Unos prihoda i primitaka'!$L$3:$L$502,"=66")</f>
        <v>0</v>
      </c>
      <c r="L38" s="120">
        <f>SUMIFS('Unos prihoda i primitaka'!$H$3:$H$502,'Unos prihoda i primitaka'!$C$3:$C$502,"=559",'Unos prihoda i primitaka'!$L$3:$L$502,"=66")</f>
        <v>0</v>
      </c>
      <c r="M38" s="120">
        <f>SUMIFS('Unos prihoda i primitaka'!$H$3:$H$502,'Unos prihoda i primitaka'!$C$3:$C$502,"=561",'Unos prihoda i primitaka'!$L$3:$L$502,"=66")</f>
        <v>0</v>
      </c>
      <c r="N38" s="120">
        <f>SUMIFS('Unos prihoda i primitaka'!$H$3:$H$502,'Unos prihoda i primitaka'!$C$3:$C$502,"=563",'Unos prihoda i primitaka'!$L$3:$L$502,"=66")</f>
        <v>0</v>
      </c>
      <c r="O38" s="120">
        <f>SUMIFS('Unos prihoda i primitaka'!$H$3:$H$502,'Unos prihoda i primitaka'!$C$3:$C$502,"=573",'Unos prihoda i primitaka'!$L$3:$L$502,"=66")</f>
        <v>0</v>
      </c>
      <c r="P38" s="120">
        <f>SUMIFS('Unos prihoda i primitaka'!$H$3:$H$502,'Unos prihoda i primitaka'!$C$3:$C$502,"=575",'Unos prihoda i primitaka'!$L$3:$L$502,"=66")</f>
        <v>0</v>
      </c>
      <c r="Q38" s="120">
        <f>SUMIFS('Unos prihoda i primitaka'!$H$3:$H$502,'Unos prihoda i primitaka'!$C$3:$C$502,"=576",'Unos prihoda i primitaka'!$L$3:$L$502,"=66")</f>
        <v>0</v>
      </c>
      <c r="R38" s="120">
        <f>SUMIFS('Unos prihoda i primitaka'!$H$3:$H$502,'Unos prihoda i primitaka'!$C$3:$C$502,"=581",'Unos prihoda i primitaka'!$L$3:$L$502,"=66")</f>
        <v>0</v>
      </c>
      <c r="S38" s="120">
        <f>SUMIFS('Unos prihoda i primitaka'!$H$3:$H$502,'Unos prihoda i primitaka'!$C$3:$C$502,"=61",'Unos prihoda i primitaka'!$L$3:$L$502,"=66")</f>
        <v>-1000</v>
      </c>
      <c r="T38" s="120">
        <f>SUMIFS('Unos prihoda i primitaka'!$H$3:$H$502,'Unos prihoda i primitaka'!$C$3:$C$502,"=63",'Unos prihoda i primitaka'!$L$3:$L$502,"=66")</f>
        <v>0</v>
      </c>
      <c r="U38" s="120">
        <f>SUMIFS('Unos prihoda i primitaka'!$H$3:$H$502,'Unos prihoda i primitaka'!$C$3:$C$502,"=71",'Unos prihoda i primitaka'!$L$3:$L$502,"=66")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667864</v>
      </c>
      <c r="D39" s="120">
        <f>SUMIFS('Unos prihoda i primitaka'!$H$3:$H$502,'Unos prihoda i primitaka'!$C$3:$C$502,"=11",'Unos prihoda i primitaka'!$L$3:$L$502,"=67")</f>
        <v>667864</v>
      </c>
      <c r="E39" s="120">
        <f>SUMIFS('Unos prihoda i primitaka'!$H$3:$H$502,'Unos prihoda i primitaka'!$C$3:$C$502,"=12",'Unos prihoda i primitaka'!$L$3:$L$502,"=67")</f>
        <v>0</v>
      </c>
      <c r="F39" s="120">
        <f>SUMIFS('Unos prihoda i primitaka'!$H$3:$H$502,'Unos prihoda i primitaka'!$C$3:$C$502,"=31",'Unos prihoda i primitaka'!$L$3:$L$502,"=67")</f>
        <v>0</v>
      </c>
      <c r="G39" s="120">
        <f>SUMIFS('Unos prihoda i primitaka'!$H$3:$H$502,'Unos prihoda i primitaka'!$C$3:$C$502,"=41",'Unos prihoda i primitaka'!$L$3:$L$502,"=67")</f>
        <v>0</v>
      </c>
      <c r="H39" s="120">
        <f>SUMIFS('Unos prihoda i primitaka'!$H$3:$H$502,'Unos prihoda i primitaka'!$C$3:$C$502,"=43",'Unos prihoda i primitaka'!$L$3:$L$502,"=67")</f>
        <v>0</v>
      </c>
      <c r="I39" s="120">
        <f>SUMIFS('Unos prihoda i primitaka'!$H$3:$H$502,'Unos prihoda i primitaka'!$C$3:$C$502,"=51",'Unos prihoda i primitaka'!$L$3:$L$502,"=67")</f>
        <v>0</v>
      </c>
      <c r="J39" s="120">
        <f>SUMIFS('Unos prihoda i primitaka'!$H$3:$H$502,'Unos prihoda i primitaka'!$C$3:$C$502,"=52",'Unos prihoda i primitaka'!$L$3:$L$502,"=67")</f>
        <v>0</v>
      </c>
      <c r="K39" s="120">
        <f>SUMIFS('Unos prihoda i primitaka'!$H$3:$H$502,'Unos prihoda i primitaka'!$C$3:$C$502,"=552",'Unos prihoda i primitaka'!$L$3:$L$502,"=67")</f>
        <v>0</v>
      </c>
      <c r="L39" s="120">
        <f>SUMIFS('Unos prihoda i primitaka'!$H$3:$H$502,'Unos prihoda i primitaka'!$C$3:$C$502,"=559",'Unos prihoda i primitaka'!$L$3:$L$502,"=67")</f>
        <v>0</v>
      </c>
      <c r="M39" s="120">
        <f>SUMIFS('Unos prihoda i primitaka'!$H$3:$H$502,'Unos prihoda i primitaka'!$C$3:$C$502,"=561",'Unos prihoda i primitaka'!$L$3:$L$502,"=67")</f>
        <v>0</v>
      </c>
      <c r="N39" s="120">
        <f>SUMIFS('Unos prihoda i primitaka'!$H$3:$H$502,'Unos prihoda i primitaka'!$C$3:$C$502,"=563",'Unos prihoda i primitaka'!$L$3:$L$502,"=67")</f>
        <v>0</v>
      </c>
      <c r="O39" s="120">
        <f>SUMIFS('Unos prihoda i primitaka'!$H$3:$H$502,'Unos prihoda i primitaka'!$C$3:$C$502,"=573",'Unos prihoda i primitaka'!$L$3:$L$502,"=67")</f>
        <v>0</v>
      </c>
      <c r="P39" s="120">
        <f>SUMIFS('Unos prihoda i primitaka'!$H$3:$H$502,'Unos prihoda i primitaka'!$C$3:$C$502,"=575",'Unos prihoda i primitaka'!$L$3:$L$502,"=67")</f>
        <v>0</v>
      </c>
      <c r="Q39" s="120">
        <f>SUMIFS('Unos prihoda i primitaka'!$H$3:$H$502,'Unos prihoda i primitaka'!$C$3:$C$502,"=576",'Unos prihoda i primitaka'!$L$3:$L$502,"=67")</f>
        <v>0</v>
      </c>
      <c r="R39" s="120">
        <f>SUMIFS('Unos prihoda i primitaka'!$H$3:$H$502,'Unos prihoda i primitaka'!$C$3:$C$502,"=581",'Unos prihoda i primitaka'!$L$3:$L$502,"=67")</f>
        <v>0</v>
      </c>
      <c r="S39" s="120">
        <f>SUMIFS('Unos prihoda i primitaka'!$H$3:$H$502,'Unos prihoda i primitaka'!$C$3:$C$502,"=61",'Unos prihoda i primitaka'!$L$3:$L$502,"=67")</f>
        <v>0</v>
      </c>
      <c r="T39" s="120">
        <f>SUMIFS('Unos prihoda i primitaka'!$H$3:$H$502,'Unos prihoda i primitaka'!$C$3:$C$502,"=63",'Unos prihoda i primitaka'!$L$3:$L$502,"=67")</f>
        <v>0</v>
      </c>
      <c r="U39" s="120">
        <f>SUMIFS('Unos prihoda i primitaka'!$H$3:$H$502,'Unos prihoda i primitaka'!$C$3:$C$502,"=71",'Unos prihoda i primitaka'!$L$3:$L$502,"=67")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primitaka'!$H$3:$H$502,'Unos prihoda i primitaka'!$C$3:$C$502,"=11",'Unos prihoda i primitaka'!$L$3:$L$502,"=68")</f>
        <v>0</v>
      </c>
      <c r="E40" s="120">
        <f>SUMIFS('Unos prihoda i primitaka'!$H$3:$H$502,'Unos prihoda i primitaka'!$C$3:$C$502,"=12",'Unos prihoda i primitaka'!$L$3:$L$502,"=68")</f>
        <v>0</v>
      </c>
      <c r="F40" s="120">
        <f>SUMIFS('Unos prihoda i primitaka'!$H$3:$H$502,'Unos prihoda i primitaka'!$C$3:$C$502,"=31",'Unos prihoda i primitaka'!$L$3:$L$502,"=68")</f>
        <v>0</v>
      </c>
      <c r="G40" s="120">
        <f>SUMIFS('Unos prihoda i primitaka'!$H$3:$H$502,'Unos prihoda i primitaka'!$C$3:$C$502,"=41",'Unos prihoda i primitaka'!$L$3:$L$502,"=68")</f>
        <v>0</v>
      </c>
      <c r="H40" s="120">
        <f>SUMIFS('Unos prihoda i primitaka'!$H$3:$H$502,'Unos prihoda i primitaka'!$C$3:$C$502,"=43",'Unos prihoda i primitaka'!$L$3:$L$502,"=68")</f>
        <v>0</v>
      </c>
      <c r="I40" s="120">
        <f>SUMIFS('Unos prihoda i primitaka'!$H$3:$H$502,'Unos prihoda i primitaka'!$C$3:$C$502,"=51",'Unos prihoda i primitaka'!$L$3:$L$502,"=68")</f>
        <v>0</v>
      </c>
      <c r="J40" s="120">
        <f>SUMIFS('Unos prihoda i primitaka'!$H$3:$H$502,'Unos prihoda i primitaka'!$C$3:$C$502,"=52",'Unos prihoda i primitaka'!$L$3:$L$502,"=68")</f>
        <v>0</v>
      </c>
      <c r="K40" s="120">
        <f>SUMIFS('Unos prihoda i primitaka'!$H$3:$H$502,'Unos prihoda i primitaka'!$C$3:$C$502,"=552",'Unos prihoda i primitaka'!$L$3:$L$502,"=68")</f>
        <v>0</v>
      </c>
      <c r="L40" s="120">
        <f>SUMIFS('Unos prihoda i primitaka'!$H$3:$H$502,'Unos prihoda i primitaka'!$C$3:$C$502,"=559",'Unos prihoda i primitaka'!$L$3:$L$502,"=68")</f>
        <v>0</v>
      </c>
      <c r="M40" s="120">
        <f>SUMIFS('Unos prihoda i primitaka'!$H$3:$H$502,'Unos prihoda i primitaka'!$C$3:$C$502,"=561",'Unos prihoda i primitaka'!$L$3:$L$502,"=68")</f>
        <v>0</v>
      </c>
      <c r="N40" s="120">
        <f>SUMIFS('Unos prihoda i primitaka'!$H$3:$H$502,'Unos prihoda i primitaka'!$C$3:$C$502,"=563",'Unos prihoda i primitaka'!$L$3:$L$502,"=68")</f>
        <v>0</v>
      </c>
      <c r="O40" s="120">
        <f>SUMIFS('Unos prihoda i primitaka'!$H$3:$H$502,'Unos prihoda i primitaka'!$C$3:$C$502,"=573",'Unos prihoda i primitaka'!$L$3:$L$502,"=68")</f>
        <v>0</v>
      </c>
      <c r="P40" s="120">
        <f>SUMIFS('Unos prihoda i primitaka'!$H$3:$H$502,'Unos prihoda i primitaka'!$C$3:$C$502,"=575",'Unos prihoda i primitaka'!$L$3:$L$502,"=68")</f>
        <v>0</v>
      </c>
      <c r="Q40" s="120">
        <f>SUMIFS('Unos prihoda i primitaka'!$H$3:$H$502,'Unos prihoda i primitaka'!$C$3:$C$502,"=576",'Unos prihoda i primitaka'!$L$3:$L$502,"=68")</f>
        <v>0</v>
      </c>
      <c r="R40" s="120">
        <f>SUMIFS('Unos prihoda i primitaka'!$H$3:$H$502,'Unos prihoda i primitaka'!$C$3:$C$502,"=581",'Unos prihoda i primitaka'!$L$3:$L$502,"=68")</f>
        <v>0</v>
      </c>
      <c r="S40" s="120">
        <f>SUMIFS('Unos prihoda i primitaka'!$H$3:$H$502,'Unos prihoda i primitaka'!$C$3:$C$502,"=61",'Unos prihoda i primitaka'!$L$3:$L$502,"=68")</f>
        <v>0</v>
      </c>
      <c r="T40" s="120">
        <f>SUMIFS('Unos prihoda i primitaka'!$H$3:$H$502,'Unos prihoda i primitaka'!$C$3:$C$502,"=63",'Unos prihoda i primitaka'!$L$3:$L$502,"=68")</f>
        <v>0</v>
      </c>
      <c r="U40" s="120">
        <f>SUMIFS('Unos prihoda i primitaka'!$H$3:$H$502,'Unos prihoda i primitaka'!$C$3:$C$502,"=71",'Unos prihoda i primitaka'!$L$3:$L$502,"=68")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740239</v>
      </c>
      <c r="D41" s="3">
        <f t="shared" ref="D41:U41" si="6">SUM(D34:D40)</f>
        <v>667864</v>
      </c>
      <c r="E41" s="3">
        <f t="shared" si="6"/>
        <v>0</v>
      </c>
      <c r="F41" s="3">
        <f t="shared" si="6"/>
        <v>0</v>
      </c>
      <c r="G41" s="3">
        <f t="shared" si="6"/>
        <v>0</v>
      </c>
      <c r="H41" s="3">
        <f t="shared" si="6"/>
        <v>-32997</v>
      </c>
      <c r="I41" s="3">
        <f t="shared" si="6"/>
        <v>17111</v>
      </c>
      <c r="J41" s="3">
        <f t="shared" si="6"/>
        <v>89261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-1000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primitaka'!$H$3:$H$502,'Unos prihoda i primitaka'!$C$3:$C$502,"=11",'Unos prihoda i primitaka'!$L$3:$L$502,"=71")</f>
        <v>0</v>
      </c>
      <c r="E42" s="120">
        <f>SUMIFS('Unos prihoda i primitaka'!$H$3:$H$502,'Unos prihoda i primitaka'!$C$3:$C$502,"=12",'Unos prihoda i primitaka'!$L$3:$L$502,"=71")</f>
        <v>0</v>
      </c>
      <c r="F42" s="120">
        <f>SUMIFS('Unos prihoda i primitaka'!$H$3:$H$502,'Unos prihoda i primitaka'!$C$3:$C$502,"=31",'Unos prihoda i primitaka'!$L$3:$L$502,"=71")</f>
        <v>0</v>
      </c>
      <c r="G42" s="120">
        <f>SUMIFS('Unos prihoda i primitaka'!$H$3:$H$502,'Unos prihoda i primitaka'!$C$3:$C$502,"=41",'Unos prihoda i primitaka'!$L$3:$L$502,"=71")</f>
        <v>0</v>
      </c>
      <c r="H42" s="120">
        <f>SUMIFS('Unos prihoda i primitaka'!$H$3:$H$502,'Unos prihoda i primitaka'!$C$3:$C$502,"=43",'Unos prihoda i primitaka'!$L$3:$L$502,"=71")</f>
        <v>0</v>
      </c>
      <c r="I42" s="120">
        <f>SUMIFS('Unos prihoda i primitaka'!$H$3:$H$502,'Unos prihoda i primitaka'!$C$3:$C$502,"=51",'Unos prihoda i primitaka'!$L$3:$L$502,"=71")</f>
        <v>0</v>
      </c>
      <c r="J42" s="120">
        <f>SUMIFS('Unos prihoda i primitaka'!$H$3:$H$502,'Unos prihoda i primitaka'!$C$3:$C$502,"=52",'Unos prihoda i primitaka'!$L$3:$L$502,"=71")</f>
        <v>0</v>
      </c>
      <c r="K42" s="120">
        <f>SUMIFS('Unos prihoda i primitaka'!$H$3:$H$502,'Unos prihoda i primitaka'!$C$3:$C$502,"=552",'Unos prihoda i primitaka'!$L$3:$L$502,"=71")</f>
        <v>0</v>
      </c>
      <c r="L42" s="120">
        <f>SUMIFS('Unos prihoda i primitaka'!$H$3:$H$502,'Unos prihoda i primitaka'!$C$3:$C$502,"=559",'Unos prihoda i primitaka'!$L$3:$L$502,"=71")</f>
        <v>0</v>
      </c>
      <c r="M42" s="120">
        <f>SUMIFS('Unos prihoda i primitaka'!$H$3:$H$502,'Unos prihoda i primitaka'!$C$3:$C$502,"=561",'Unos prihoda i primitaka'!$L$3:$L$502,"=71")</f>
        <v>0</v>
      </c>
      <c r="N42" s="120">
        <f>SUMIFS('Unos prihoda i primitaka'!$H$3:$H$502,'Unos prihoda i primitaka'!$C$3:$C$502,"=563",'Unos prihoda i primitaka'!$L$3:$L$502,"=71")</f>
        <v>0</v>
      </c>
      <c r="O42" s="120">
        <f>SUMIFS('Unos prihoda i primitaka'!$H$3:$H$502,'Unos prihoda i primitaka'!$C$3:$C$502,"=573",'Unos prihoda i primitaka'!$L$3:$L$502,"=71")</f>
        <v>0</v>
      </c>
      <c r="P42" s="120">
        <f>SUMIFS('Unos prihoda i primitaka'!$H$3:$H$502,'Unos prihoda i primitaka'!$C$3:$C$502,"=575",'Unos prihoda i primitaka'!$L$3:$L$502,"=71")</f>
        <v>0</v>
      </c>
      <c r="Q42" s="120">
        <f>SUMIFS('Unos prihoda i primitaka'!$H$3:$H$502,'Unos prihoda i primitaka'!$C$3:$C$502,"=576",'Unos prihoda i primitaka'!$L$3:$L$502,"=71")</f>
        <v>0</v>
      </c>
      <c r="R42" s="120">
        <f>SUMIFS('Unos prihoda i primitaka'!$H$3:$H$502,'Unos prihoda i primitaka'!$C$3:$C$502,"=581",'Unos prihoda i primitaka'!$L$3:$L$502,"=71")</f>
        <v>0</v>
      </c>
      <c r="S42" s="120">
        <f>SUMIFS('Unos prihoda i primitaka'!$H$3:$H$502,'Unos prihoda i primitaka'!$C$3:$C$502,"=61",'Unos prihoda i primitaka'!$L$3:$L$502,"=71")</f>
        <v>0</v>
      </c>
      <c r="T42" s="120">
        <f>SUMIFS('Unos prihoda i primitaka'!$H$3:$H$502,'Unos prihoda i primitaka'!$C$3:$C$502,"=63",'Unos prihoda i primitaka'!$L$3:$L$502,"=71")</f>
        <v>0</v>
      </c>
      <c r="U42" s="120">
        <f>SUMIFS('Unos prihoda i primitaka'!$H$3:$H$502,'Unos prihoda i primitaka'!$C$3:$C$502,"=71",'Unos prihoda i primitaka'!$L$3:$L$502,"=71")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primitaka'!$H$3:$H$502,'Unos prihoda i primitaka'!$C$3:$C$502,"=11",'Unos prihoda i primitaka'!$L$3:$L$502,"=72")</f>
        <v>0</v>
      </c>
      <c r="E43" s="120">
        <f>SUMIFS('Unos prihoda i primitaka'!$H$3:$H$502,'Unos prihoda i primitaka'!$C$3:$C$502,"=12",'Unos prihoda i primitaka'!$L$3:$L$502,"=72")</f>
        <v>0</v>
      </c>
      <c r="F43" s="120">
        <f>SUMIFS('Unos prihoda i primitaka'!$H$3:$H$502,'Unos prihoda i primitaka'!$C$3:$C$502,"=31",'Unos prihoda i primitaka'!$L$3:$L$502,"=72")</f>
        <v>0</v>
      </c>
      <c r="G43" s="120">
        <f>SUMIFS('Unos prihoda i primitaka'!$H$3:$H$502,'Unos prihoda i primitaka'!$C$3:$C$502,"=41",'Unos prihoda i primitaka'!$L$3:$L$502,"=72")</f>
        <v>0</v>
      </c>
      <c r="H43" s="120">
        <f>SUMIFS('Unos prihoda i primitaka'!$H$3:$H$502,'Unos prihoda i primitaka'!$C$3:$C$502,"=43",'Unos prihoda i primitaka'!$L$3:$L$502,"=72")</f>
        <v>0</v>
      </c>
      <c r="I43" s="120">
        <f>SUMIFS('Unos prihoda i primitaka'!$H$3:$H$502,'Unos prihoda i primitaka'!$C$3:$C$502,"=51",'Unos prihoda i primitaka'!$L$3:$L$502,"=72")</f>
        <v>0</v>
      </c>
      <c r="J43" s="120">
        <f>SUMIFS('Unos prihoda i primitaka'!$H$3:$H$502,'Unos prihoda i primitaka'!$C$3:$C$502,"=52",'Unos prihoda i primitaka'!$L$3:$L$502,"=72")</f>
        <v>0</v>
      </c>
      <c r="K43" s="120">
        <f>SUMIFS('Unos prihoda i primitaka'!$H$3:$H$502,'Unos prihoda i primitaka'!$C$3:$C$502,"=552",'Unos prihoda i primitaka'!$L$3:$L$502,"=72")</f>
        <v>0</v>
      </c>
      <c r="L43" s="120">
        <f>SUMIFS('Unos prihoda i primitaka'!$H$3:$H$502,'Unos prihoda i primitaka'!$C$3:$C$502,"=559",'Unos prihoda i primitaka'!$L$3:$L$502,"=72")</f>
        <v>0</v>
      </c>
      <c r="M43" s="120">
        <f>SUMIFS('Unos prihoda i primitaka'!$H$3:$H$502,'Unos prihoda i primitaka'!$C$3:$C$502,"=561",'Unos prihoda i primitaka'!$L$3:$L$502,"=72")</f>
        <v>0</v>
      </c>
      <c r="N43" s="120">
        <f>SUMIFS('Unos prihoda i primitaka'!$H$3:$H$502,'Unos prihoda i primitaka'!$C$3:$C$502,"=563",'Unos prihoda i primitaka'!$L$3:$L$502,"=72")</f>
        <v>0</v>
      </c>
      <c r="O43" s="120">
        <f>SUMIFS('Unos prihoda i primitaka'!$H$3:$H$502,'Unos prihoda i primitaka'!$C$3:$C$502,"=573",'Unos prihoda i primitaka'!$L$3:$L$502,"=72")</f>
        <v>0</v>
      </c>
      <c r="P43" s="120">
        <f>SUMIFS('Unos prihoda i primitaka'!$H$3:$H$502,'Unos prihoda i primitaka'!$C$3:$C$502,"=575",'Unos prihoda i primitaka'!$L$3:$L$502,"=72")</f>
        <v>0</v>
      </c>
      <c r="Q43" s="120">
        <f>SUMIFS('Unos prihoda i primitaka'!$H$3:$H$502,'Unos prihoda i primitaka'!$C$3:$C$502,"=576",'Unos prihoda i primitaka'!$L$3:$L$502,"=72")</f>
        <v>0</v>
      </c>
      <c r="R43" s="120">
        <f>SUMIFS('Unos prihoda i primitaka'!$H$3:$H$502,'Unos prihoda i primitaka'!$C$3:$C$502,"=581",'Unos prihoda i primitaka'!$L$3:$L$502,"=72")</f>
        <v>0</v>
      </c>
      <c r="S43" s="120">
        <f>SUMIFS('Unos prihoda i primitaka'!$H$3:$H$502,'Unos prihoda i primitaka'!$C$3:$C$502,"=61",'Unos prihoda i primitaka'!$L$3:$L$502,"=72")</f>
        <v>0</v>
      </c>
      <c r="T43" s="120">
        <f>SUMIFS('Unos prihoda i primitaka'!$H$3:$H$502,'Unos prihoda i primitaka'!$C$3:$C$502,"=63",'Unos prihoda i primitaka'!$L$3:$L$502,"=72")</f>
        <v>0</v>
      </c>
      <c r="U43" s="120">
        <f>SUMIFS('Unos prihoda i primitaka'!$H$3:$H$502,'Unos prihoda i primitaka'!$C$3:$C$502,"=71",'Unos prihoda i primitaka'!$L$3:$L$502,"=72")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96.6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5276</v>
      </c>
      <c r="C47" s="60">
        <f t="shared" ref="C47:C64" si="8">SUM(D47:U47)</f>
        <v>6550691</v>
      </c>
      <c r="D47" s="60">
        <f t="shared" ref="D47:U47" si="9">+D64+D61</f>
        <v>6083029</v>
      </c>
      <c r="E47" s="60">
        <f t="shared" si="9"/>
        <v>0</v>
      </c>
      <c r="F47" s="60">
        <f t="shared" si="9"/>
        <v>35529</v>
      </c>
      <c r="G47" s="60">
        <f t="shared" si="9"/>
        <v>0</v>
      </c>
      <c r="H47" s="60">
        <f t="shared" si="9"/>
        <v>325261</v>
      </c>
      <c r="I47" s="60">
        <f t="shared" si="9"/>
        <v>17111</v>
      </c>
      <c r="J47" s="60">
        <f t="shared" si="9"/>
        <v>89261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500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primitaka'!$I$3:$I$502,'Unos prihoda i primitaka'!$C$3:$C$502,"=11",'Unos prihoda i primitaka'!$L$3:$L$502,"=61")</f>
        <v>0</v>
      </c>
      <c r="E48" s="120">
        <f>SUMIFS('Unos prihoda i primitaka'!$I$3:$I$502,'Unos prihoda i primitaka'!$C$3:$C$502,"=12",'Unos prihoda i primitaka'!$L$3:$L$502,"=61")</f>
        <v>0</v>
      </c>
      <c r="F48" s="120">
        <f>SUMIFS('Unos prihoda i primitaka'!$I$3:$I$502,'Unos prihoda i primitaka'!$C$3:$C$502,"=31",'Unos prihoda i primitaka'!$L$3:$L$502,"=61")</f>
        <v>0</v>
      </c>
      <c r="G48" s="120">
        <f>SUMIFS('Unos prihoda i primitaka'!$I$3:$I$502,'Unos prihoda i primitaka'!$C$3:$C$502,"=41",'Unos prihoda i primitaka'!$L$3:$L$502,"=61")</f>
        <v>0</v>
      </c>
      <c r="H48" s="120">
        <f>SUMIFS('Unos prihoda i primitaka'!$I$3:$I$502,'Unos prihoda i primitaka'!$C$3:$C$502,"=43",'Unos prihoda i primitaka'!$L$3:$L$502,"=61")</f>
        <v>0</v>
      </c>
      <c r="I48" s="120">
        <f>SUMIFS('Unos prihoda i primitaka'!$I$3:$I$502,'Unos prihoda i primitaka'!$C$3:$C$502,"=51",'Unos prihoda i primitaka'!$L$3:$L$502,"=61")</f>
        <v>0</v>
      </c>
      <c r="J48" s="120">
        <f>SUMIFS('Unos prihoda i primitaka'!$I$3:$I$502,'Unos prihoda i primitaka'!$C$3:$C$502,"=52",'Unos prihoda i primitaka'!$L$3:$L$502,"=61")</f>
        <v>0</v>
      </c>
      <c r="K48" s="120">
        <f>SUMIFS('Unos prihoda i primitaka'!$I$3:$I$502,'Unos prihoda i primitaka'!$C$3:$C$502,"=552",'Unos prihoda i primitaka'!$L$3:$L$502,"=61")</f>
        <v>0</v>
      </c>
      <c r="L48" s="120">
        <f>SUMIFS('Unos prihoda i primitaka'!$I$3:$I$502,'Unos prihoda i primitaka'!$C$3:$C$502,"=559",'Unos prihoda i primitaka'!$L$3:$L$502,"=61")</f>
        <v>0</v>
      </c>
      <c r="M48" s="120">
        <f>SUMIFS('Unos prihoda i primitaka'!$I$3:$I$502,'Unos prihoda i primitaka'!$C$3:$C$502,"=561",'Unos prihoda i primitaka'!$L$3:$L$502,"=61")</f>
        <v>0</v>
      </c>
      <c r="N48" s="120">
        <f>SUMIFS('Unos prihoda i primitaka'!$I$3:$I$502,'Unos prihoda i primitaka'!$C$3:$C$502,"=563",'Unos prihoda i primitaka'!$L$3:$L$502,"=61")</f>
        <v>0</v>
      </c>
      <c r="O48" s="120">
        <f>SUMIFS('Unos prihoda i primitaka'!$I$3:$I$502,'Unos prihoda i primitaka'!$C$3:$C$502,"=573",'Unos prihoda i primitaka'!$L$3:$L$502,"=61")</f>
        <v>0</v>
      </c>
      <c r="P48" s="120">
        <f>SUMIFS('Unos prihoda i primitaka'!$I$3:$I$502,'Unos prihoda i primitaka'!$C$3:$C$502,"=575",'Unos prihoda i primitaka'!$L$3:$L$502,"=61")</f>
        <v>0</v>
      </c>
      <c r="Q48" s="120">
        <f>SUMIFS('Unos prihoda i primitaka'!$I$3:$I$502,'Unos prihoda i primitaka'!$C$3:$C$502,"=576",'Unos prihoda i primitaka'!$L$3:$L$502,"=61")</f>
        <v>0</v>
      </c>
      <c r="R48" s="120">
        <f>SUMIFS('Unos prihoda i primitaka'!$I$3:$I$502,'Unos prihoda i primitaka'!$C$3:$C$502,"=581",'Unos prihoda i primitaka'!$L$3:$L$502,"=61")</f>
        <v>0</v>
      </c>
      <c r="S48" s="120">
        <f>SUMIFS('Unos prihoda i primitaka'!$I$3:$I$502,'Unos prihoda i primitaka'!$C$3:$C$502,"=61",'Unos prihoda i primitaka'!$L$3:$L$502,"=61")</f>
        <v>0</v>
      </c>
      <c r="T48" s="120">
        <f>SUMIFS('Unos prihoda i primitaka'!$I$3:$I$502,'Unos prihoda i primitaka'!$C$3:$C$502,"=63",'Unos prihoda i primitaka'!$L$3:$L$502,"=61")</f>
        <v>0</v>
      </c>
      <c r="U48" s="120">
        <f>SUMIFS('Unos prihoda i primitaka'!$I$3:$I$502,'Unos prihoda i primitaka'!$C$3:$C$502,"=71",'Unos prihoda i primitaka'!$L$3:$L$502,"=61")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>
      <c r="A52" s="44" t="s">
        <v>5084</v>
      </c>
      <c r="B52" s="57" t="s">
        <v>5083</v>
      </c>
      <c r="C52" s="27">
        <f t="shared" si="8"/>
        <v>106372</v>
      </c>
      <c r="D52" s="120">
        <f>SUMIFS('Unos prihoda i primitaka'!$I$3:$I$502,'Unos prihoda i primitaka'!$C$3:$C$502,"=11",'Unos prihoda i primitaka'!$L$3:$L$502,"=63")</f>
        <v>0</v>
      </c>
      <c r="E52" s="120">
        <f>SUMIFS('Unos prihoda i primitaka'!$I$3:$I$502,'Unos prihoda i primitaka'!$C$3:$C$502,"=12",'Unos prihoda i primitaka'!$L$3:$L$502,"=63")</f>
        <v>0</v>
      </c>
      <c r="F52" s="120">
        <f>SUMIFS('Unos prihoda i primitaka'!$I$3:$I$502,'Unos prihoda i primitaka'!$C$3:$C$502,"=31",'Unos prihoda i primitaka'!$L$3:$L$502,"=63")</f>
        <v>0</v>
      </c>
      <c r="G52" s="120">
        <f>SUMIFS('Unos prihoda i primitaka'!$I$3:$I$502,'Unos prihoda i primitaka'!$C$3:$C$502,"=41",'Unos prihoda i primitaka'!$L$3:$L$502,"=63")</f>
        <v>0</v>
      </c>
      <c r="H52" s="120">
        <f>SUMIFS('Unos prihoda i primitaka'!$I$3:$I$502,'Unos prihoda i primitaka'!$C$3:$C$502,"=43",'Unos prihoda i primitaka'!$L$3:$L$502,"=63")</f>
        <v>0</v>
      </c>
      <c r="I52" s="120">
        <f>SUMIFS('Unos prihoda i primitaka'!$I$3:$I$502,'Unos prihoda i primitaka'!$C$3:$C$502,"=51",'Unos prihoda i primitaka'!$L$3:$L$502,"=63")</f>
        <v>17111</v>
      </c>
      <c r="J52" s="120">
        <f>SUMIFS('Unos prihoda i primitaka'!$I$3:$I$502,'Unos prihoda i primitaka'!$C$3:$C$502,"=52",'Unos prihoda i primitaka'!$L$3:$L$502,"=63")</f>
        <v>89261</v>
      </c>
      <c r="K52" s="120">
        <f>SUMIFS('Unos prihoda i primitaka'!$I$3:$I$502,'Unos prihoda i primitaka'!$C$3:$C$502,"=552",'Unos prihoda i primitaka'!$L$3:$L$502,"=63")</f>
        <v>0</v>
      </c>
      <c r="L52" s="120">
        <f>SUMIFS('Unos prihoda i primitaka'!$I$3:$I$502,'Unos prihoda i primitaka'!$C$3:$C$502,"=559",'Unos prihoda i primitaka'!$L$3:$L$502,"=63")</f>
        <v>0</v>
      </c>
      <c r="M52" s="120">
        <f>SUMIFS('Unos prihoda i primitaka'!$I$3:$I$502,'Unos prihoda i primitaka'!$C$3:$C$502,"=561",'Unos prihoda i primitaka'!$L$3:$L$502,"=63")</f>
        <v>0</v>
      </c>
      <c r="N52" s="120">
        <f>SUMIFS('Unos prihoda i primitaka'!$I$3:$I$502,'Unos prihoda i primitaka'!$C$3:$C$502,"=563",'Unos prihoda i primitaka'!$L$3:$L$502,"=63")</f>
        <v>0</v>
      </c>
      <c r="O52" s="120">
        <f>SUMIFS('Unos prihoda i primitaka'!$I$3:$I$502,'Unos prihoda i primitaka'!$C$3:$C$502,"=573",'Unos prihoda i primitaka'!$L$3:$L$502,"=63")</f>
        <v>0</v>
      </c>
      <c r="P52" s="120">
        <f>SUMIFS('Unos prihoda i primitaka'!$I$3:$I$502,'Unos prihoda i primitaka'!$C$3:$C$502,"=575",'Unos prihoda i primitaka'!$L$3:$L$502,"=63")</f>
        <v>0</v>
      </c>
      <c r="Q52" s="120">
        <f>SUMIFS('Unos prihoda i primitaka'!$I$3:$I$502,'Unos prihoda i primitaka'!$C$3:$C$502,"=576",'Unos prihoda i primitaka'!$L$3:$L$502,"=63")</f>
        <v>0</v>
      </c>
      <c r="R52" s="120">
        <f>SUMIFS('Unos prihoda i primitaka'!$I$3:$I$502,'Unos prihoda i primitaka'!$C$3:$C$502,"=581",'Unos prihoda i primitaka'!$L$3:$L$502,"=63")</f>
        <v>0</v>
      </c>
      <c r="S52" s="120">
        <f>SUMIFS('Unos prihoda i primitaka'!$I$3:$I$502,'Unos prihoda i primitaka'!$C$3:$C$502,"=61",'Unos prihoda i primitaka'!$L$3:$L$502,"=63")</f>
        <v>0</v>
      </c>
      <c r="T52" s="120">
        <f>SUMIFS('Unos prihoda i primitaka'!$I$3:$I$502,'Unos prihoda i primitaka'!$C$3:$C$502,"=63",'Unos prihoda i primitaka'!$L$3:$L$502,"=63")</f>
        <v>0</v>
      </c>
      <c r="U52" s="120">
        <f>SUMIFS('Unos prihoda i primitaka'!$I$3:$I$502,'Unos prihoda i primitaka'!$C$3:$C$502,"=71",'Unos prihoda i primitaka'!$L$3:$L$502,"=63")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primitaka'!$I$3:$I$502,'Unos prihoda i primitaka'!$C$3:$C$502,"=11",'Unos prihoda i primitaka'!$L$3:$L$502,"=64")</f>
        <v>0</v>
      </c>
      <c r="E56" s="120">
        <f>SUMIFS('Unos prihoda i primitaka'!$I$3:$I$502,'Unos prihoda i primitaka'!$C$3:$C$502,"=12",'Unos prihoda i primitaka'!$L$3:$L$502,"=64")</f>
        <v>0</v>
      </c>
      <c r="F56" s="120">
        <f>SUMIFS('Unos prihoda i primitaka'!$I$3:$I$502,'Unos prihoda i primitaka'!$C$3:$C$502,"=31",'Unos prihoda i primitaka'!$L$3:$L$502,"=64")</f>
        <v>0</v>
      </c>
      <c r="G56" s="120">
        <f>SUMIFS('Unos prihoda i primitaka'!$I$3:$I$502,'Unos prihoda i primitaka'!$C$3:$C$502,"=41",'Unos prihoda i primitaka'!$L$3:$L$502,"=64")</f>
        <v>0</v>
      </c>
      <c r="H56" s="120">
        <f>SUMIFS('Unos prihoda i primitaka'!$I$3:$I$502,'Unos prihoda i primitaka'!$C$3:$C$502,"=43",'Unos prihoda i primitaka'!$L$3:$L$502,"=64")</f>
        <v>0</v>
      </c>
      <c r="I56" s="120">
        <f>SUMIFS('Unos prihoda i primitaka'!$I$3:$I$502,'Unos prihoda i primitaka'!$C$3:$C$502,"=51",'Unos prihoda i primitaka'!$L$3:$L$502,"=64")</f>
        <v>0</v>
      </c>
      <c r="J56" s="120">
        <f>SUMIFS('Unos prihoda i primitaka'!$I$3:$I$502,'Unos prihoda i primitaka'!$C$3:$C$502,"=52",'Unos prihoda i primitaka'!$L$3:$L$502,"=64")</f>
        <v>0</v>
      </c>
      <c r="K56" s="120">
        <f>SUMIFS('Unos prihoda i primitaka'!$I$3:$I$502,'Unos prihoda i primitaka'!$C$3:$C$502,"=552",'Unos prihoda i primitaka'!$L$3:$L$502,"=64")</f>
        <v>0</v>
      </c>
      <c r="L56" s="120">
        <f>SUMIFS('Unos prihoda i primitaka'!$I$3:$I$502,'Unos prihoda i primitaka'!$C$3:$C$502,"=559",'Unos prihoda i primitaka'!$L$3:$L$502,"=64")</f>
        <v>0</v>
      </c>
      <c r="M56" s="120">
        <f>SUMIFS('Unos prihoda i primitaka'!$I$3:$I$502,'Unos prihoda i primitaka'!$C$3:$C$502,"=561",'Unos prihoda i primitaka'!$L$3:$L$502,"=64")</f>
        <v>0</v>
      </c>
      <c r="N56" s="120">
        <f>SUMIFS('Unos prihoda i primitaka'!$I$3:$I$502,'Unos prihoda i primitaka'!$C$3:$C$502,"=563",'Unos prihoda i primitaka'!$L$3:$L$502,"=64")</f>
        <v>0</v>
      </c>
      <c r="O56" s="120">
        <f>SUMIFS('Unos prihoda i primitaka'!$I$3:$I$502,'Unos prihoda i primitaka'!$C$3:$C$502,"=573",'Unos prihoda i primitaka'!$L$3:$L$502,"=64")</f>
        <v>0</v>
      </c>
      <c r="P56" s="120">
        <f>SUMIFS('Unos prihoda i primitaka'!$I$3:$I$502,'Unos prihoda i primitaka'!$C$3:$C$502,"=575",'Unos prihoda i primitaka'!$L$3:$L$502,"=64")</f>
        <v>0</v>
      </c>
      <c r="Q56" s="120">
        <f>SUMIFS('Unos prihoda i primitaka'!$I$3:$I$502,'Unos prihoda i primitaka'!$C$3:$C$502,"=576",'Unos prihoda i primitaka'!$L$3:$L$502,"=64")</f>
        <v>0</v>
      </c>
      <c r="R56" s="120">
        <f>SUMIFS('Unos prihoda i primitaka'!$I$3:$I$502,'Unos prihoda i primitaka'!$C$3:$C$502,"=581",'Unos prihoda i primitaka'!$L$3:$L$502,"=64")</f>
        <v>0</v>
      </c>
      <c r="S56" s="120">
        <f>SUMIFS('Unos prihoda i primitaka'!$I$3:$I$502,'Unos prihoda i primitaka'!$C$3:$C$502,"=61",'Unos prihoda i primitaka'!$L$3:$L$502,"=64")</f>
        <v>0</v>
      </c>
      <c r="T56" s="120">
        <f>SUMIFS('Unos prihoda i primitaka'!$I$3:$I$502,'Unos prihoda i primitaka'!$C$3:$C$502,"=63",'Unos prihoda i primitaka'!$L$3:$L$502,"=64")</f>
        <v>0</v>
      </c>
      <c r="U56" s="120">
        <f>SUMIFS('Unos prihoda i primitaka'!$I$3:$I$502,'Unos prihoda i primitaka'!$C$3:$C$502,"=71",'Unos prihoda i primitaka'!$L$3:$L$502,"=64")</f>
        <v>0</v>
      </c>
    </row>
    <row r="57" spans="1:21" s="38" customFormat="1" ht="27.6">
      <c r="A57" s="42" t="s">
        <v>5087</v>
      </c>
      <c r="B57" s="43" t="s">
        <v>5088</v>
      </c>
      <c r="C57" s="27">
        <f t="shared" si="8"/>
        <v>325261</v>
      </c>
      <c r="D57" s="120">
        <f>SUMIFS('Unos prihoda i primitaka'!$I$3:$I$502,'Unos prihoda i primitaka'!$C$3:$C$502,"=11",'Unos prihoda i primitaka'!$L$3:$L$502,"=65")</f>
        <v>0</v>
      </c>
      <c r="E57" s="120">
        <f>SUMIFS('Unos prihoda i primitaka'!$I$3:$I$502,'Unos prihoda i primitaka'!$C$3:$C$502,"=12",'Unos prihoda i primitaka'!$L$3:$L$502,"=65")</f>
        <v>0</v>
      </c>
      <c r="F57" s="120">
        <f>SUMIFS('Unos prihoda i primitaka'!$I$3:$I$502,'Unos prihoda i primitaka'!$C$3:$C$502,"=31",'Unos prihoda i primitaka'!$L$3:$L$502,"=65")</f>
        <v>0</v>
      </c>
      <c r="G57" s="120">
        <f>SUMIFS('Unos prihoda i primitaka'!$I$3:$I$502,'Unos prihoda i primitaka'!$C$3:$C$502,"=41",'Unos prihoda i primitaka'!$L$3:$L$502,"=65")</f>
        <v>0</v>
      </c>
      <c r="H57" s="120">
        <f>SUMIFS('Unos prihoda i primitaka'!$I$3:$I$502,'Unos prihoda i primitaka'!$C$3:$C$502,"=43",'Unos prihoda i primitaka'!$L$3:$L$502,"=65")</f>
        <v>325261</v>
      </c>
      <c r="I57" s="120">
        <f>SUMIFS('Unos prihoda i primitaka'!$I$3:$I$502,'Unos prihoda i primitaka'!$C$3:$C$502,"=51",'Unos prihoda i primitaka'!$L$3:$L$502,"=65")</f>
        <v>0</v>
      </c>
      <c r="J57" s="120">
        <f>SUMIFS('Unos prihoda i primitaka'!$I$3:$I$502,'Unos prihoda i primitaka'!$C$3:$C$502,"=52",'Unos prihoda i primitaka'!$L$3:$L$502,"=65")</f>
        <v>0</v>
      </c>
      <c r="K57" s="120">
        <f>SUMIFS('Unos prihoda i primitaka'!$I$3:$I$502,'Unos prihoda i primitaka'!$C$3:$C$502,"=552",'Unos prihoda i primitaka'!$L$3:$L$502,"=65")</f>
        <v>0</v>
      </c>
      <c r="L57" s="120">
        <f>SUMIFS('Unos prihoda i primitaka'!$I$3:$I$502,'Unos prihoda i primitaka'!$C$3:$C$502,"=559",'Unos prihoda i primitaka'!$L$3:$L$502,"=65")</f>
        <v>0</v>
      </c>
      <c r="M57" s="120">
        <f>SUMIFS('Unos prihoda i primitaka'!$I$3:$I$502,'Unos prihoda i primitaka'!$C$3:$C$502,"=561",'Unos prihoda i primitaka'!$L$3:$L$502,"=65")</f>
        <v>0</v>
      </c>
      <c r="N57" s="120">
        <f>SUMIFS('Unos prihoda i primitaka'!$I$3:$I$502,'Unos prihoda i primitaka'!$C$3:$C$502,"=563",'Unos prihoda i primitaka'!$L$3:$L$502,"=65")</f>
        <v>0</v>
      </c>
      <c r="O57" s="120">
        <f>SUMIFS('Unos prihoda i primitaka'!$I$3:$I$502,'Unos prihoda i primitaka'!$C$3:$C$502,"=573",'Unos prihoda i primitaka'!$L$3:$L$502,"=65")</f>
        <v>0</v>
      </c>
      <c r="P57" s="120">
        <f>SUMIFS('Unos prihoda i primitaka'!$I$3:$I$502,'Unos prihoda i primitaka'!$C$3:$C$502,"=575",'Unos prihoda i primitaka'!$L$3:$L$502,"=65")</f>
        <v>0</v>
      </c>
      <c r="Q57" s="120">
        <f>SUMIFS('Unos prihoda i primitaka'!$I$3:$I$502,'Unos prihoda i primitaka'!$C$3:$C$502,"=576",'Unos prihoda i primitaka'!$L$3:$L$502,"=65")</f>
        <v>0</v>
      </c>
      <c r="R57" s="120">
        <f>SUMIFS('Unos prihoda i primitaka'!$I$3:$I$502,'Unos prihoda i primitaka'!$C$3:$C$502,"=581",'Unos prihoda i primitaka'!$L$3:$L$502,"=65")</f>
        <v>0</v>
      </c>
      <c r="S57" s="120">
        <f>SUMIFS('Unos prihoda i primitaka'!$I$3:$I$502,'Unos prihoda i primitaka'!$C$3:$C$502,"=61",'Unos prihoda i primitaka'!$L$3:$L$502,"=65")</f>
        <v>0</v>
      </c>
      <c r="T57" s="120">
        <f>SUMIFS('Unos prihoda i primitaka'!$I$3:$I$502,'Unos prihoda i primitaka'!$C$3:$C$502,"=63",'Unos prihoda i primitaka'!$L$3:$L$502,"=65")</f>
        <v>0</v>
      </c>
      <c r="U57" s="120">
        <f>SUMIFS('Unos prihoda i primitaka'!$I$3:$I$502,'Unos prihoda i primitaka'!$C$3:$C$502,"=71",'Unos prihoda i primitaka'!$L$3:$L$502,"=65")</f>
        <v>0</v>
      </c>
    </row>
    <row r="58" spans="1:21" s="38" customFormat="1" ht="27.6">
      <c r="A58" s="138" t="s">
        <v>5090</v>
      </c>
      <c r="B58" s="43" t="s">
        <v>5089</v>
      </c>
      <c r="C58" s="27">
        <f t="shared" si="8"/>
        <v>36029</v>
      </c>
      <c r="D58" s="120">
        <f>SUMIFS('Unos prihoda i primitaka'!$I$3:$I$502,'Unos prihoda i primitaka'!$C$3:$C$502,"=11",'Unos prihoda i primitaka'!$L$3:$L$502,"=66")</f>
        <v>0</v>
      </c>
      <c r="E58" s="120">
        <f>SUMIFS('Unos prihoda i primitaka'!$I$3:$I$502,'Unos prihoda i primitaka'!$C$3:$C$502,"=12",'Unos prihoda i primitaka'!$L$3:$L$502,"=66")</f>
        <v>0</v>
      </c>
      <c r="F58" s="120">
        <f>SUMIFS('Unos prihoda i primitaka'!$I$3:$I$502,'Unos prihoda i primitaka'!$C$3:$C$502,"=31",'Unos prihoda i primitaka'!$L$3:$L$502,"=66")</f>
        <v>35529</v>
      </c>
      <c r="G58" s="120">
        <f>SUMIFS('Unos prihoda i primitaka'!$I$3:$I$502,'Unos prihoda i primitaka'!$C$3:$C$502,"=41",'Unos prihoda i primitaka'!$L$3:$L$502,"=66")</f>
        <v>0</v>
      </c>
      <c r="H58" s="120">
        <f>SUMIFS('Unos prihoda i primitaka'!$I$3:$I$502,'Unos prihoda i primitaka'!$C$3:$C$502,"=43",'Unos prihoda i primitaka'!$L$3:$L$502,"=66")</f>
        <v>0</v>
      </c>
      <c r="I58" s="120">
        <f>SUMIFS('Unos prihoda i primitaka'!$I$3:$I$502,'Unos prihoda i primitaka'!$C$3:$C$502,"=51",'Unos prihoda i primitaka'!$L$3:$L$502,"=66")</f>
        <v>0</v>
      </c>
      <c r="J58" s="120">
        <f>SUMIFS('Unos prihoda i primitaka'!$I$3:$I$502,'Unos prihoda i primitaka'!$C$3:$C$502,"=52",'Unos prihoda i primitaka'!$L$3:$L$502,"=66")</f>
        <v>0</v>
      </c>
      <c r="K58" s="120">
        <f>SUMIFS('Unos prihoda i primitaka'!$I$3:$I$502,'Unos prihoda i primitaka'!$C$3:$C$502,"=552",'Unos prihoda i primitaka'!$L$3:$L$502,"=66")</f>
        <v>0</v>
      </c>
      <c r="L58" s="120">
        <f>SUMIFS('Unos prihoda i primitaka'!$I$3:$I$502,'Unos prihoda i primitaka'!$C$3:$C$502,"=559",'Unos prihoda i primitaka'!$L$3:$L$502,"=66")</f>
        <v>0</v>
      </c>
      <c r="M58" s="120">
        <f>SUMIFS('Unos prihoda i primitaka'!$I$3:$I$502,'Unos prihoda i primitaka'!$C$3:$C$502,"=561",'Unos prihoda i primitaka'!$L$3:$L$502,"=66")</f>
        <v>0</v>
      </c>
      <c r="N58" s="120">
        <f>SUMIFS('Unos prihoda i primitaka'!$I$3:$I$502,'Unos prihoda i primitaka'!$C$3:$C$502,"=563",'Unos prihoda i primitaka'!$L$3:$L$502,"=66")</f>
        <v>0</v>
      </c>
      <c r="O58" s="120">
        <f>SUMIFS('Unos prihoda i primitaka'!$I$3:$I$502,'Unos prihoda i primitaka'!$C$3:$C$502,"=573",'Unos prihoda i primitaka'!$L$3:$L$502,"=66")</f>
        <v>0</v>
      </c>
      <c r="P58" s="120">
        <f>SUMIFS('Unos prihoda i primitaka'!$I$3:$I$502,'Unos prihoda i primitaka'!$C$3:$C$502,"=575",'Unos prihoda i primitaka'!$L$3:$L$502,"=66")</f>
        <v>0</v>
      </c>
      <c r="Q58" s="120">
        <f>SUMIFS('Unos prihoda i primitaka'!$I$3:$I$502,'Unos prihoda i primitaka'!$C$3:$C$502,"=576",'Unos prihoda i primitaka'!$L$3:$L$502,"=66")</f>
        <v>0</v>
      </c>
      <c r="R58" s="120">
        <f>SUMIFS('Unos prihoda i primitaka'!$I$3:$I$502,'Unos prihoda i primitaka'!$C$3:$C$502,"=581",'Unos prihoda i primitaka'!$L$3:$L$502,"=66")</f>
        <v>0</v>
      </c>
      <c r="S58" s="120">
        <f>SUMIFS('Unos prihoda i primitaka'!$I$3:$I$502,'Unos prihoda i primitaka'!$C$3:$C$502,"=61",'Unos prihoda i primitaka'!$L$3:$L$502,"=66")</f>
        <v>500</v>
      </c>
      <c r="T58" s="120">
        <f>SUMIFS('Unos prihoda i primitaka'!$I$3:$I$502,'Unos prihoda i primitaka'!$C$3:$C$502,"=63",'Unos prihoda i primitaka'!$L$3:$L$502,"=66")</f>
        <v>0</v>
      </c>
      <c r="U58" s="120">
        <f>SUMIFS('Unos prihoda i primitaka'!$I$3:$I$502,'Unos prihoda i primitaka'!$C$3:$C$502,"=71",'Unos prihoda i primitaka'!$L$3:$L$502,"=66")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6083029</v>
      </c>
      <c r="D59" s="120">
        <f>SUMIFS('Unos prihoda i primitaka'!$I$3:$I$502,'Unos prihoda i primitaka'!$C$3:$C$502,"=11",'Unos prihoda i primitaka'!$L$3:$L$502,"=67")</f>
        <v>6083029</v>
      </c>
      <c r="E59" s="120">
        <f>SUMIFS('Unos prihoda i primitaka'!$I$3:$I$502,'Unos prihoda i primitaka'!$C$3:$C$502,"=12",'Unos prihoda i primitaka'!$L$3:$L$502,"=67")</f>
        <v>0</v>
      </c>
      <c r="F59" s="120">
        <f>SUMIFS('Unos prihoda i primitaka'!$I$3:$I$502,'Unos prihoda i primitaka'!$C$3:$C$502,"=31",'Unos prihoda i primitaka'!$L$3:$L$502,"=67")</f>
        <v>0</v>
      </c>
      <c r="G59" s="120">
        <f>SUMIFS('Unos prihoda i primitaka'!$I$3:$I$502,'Unos prihoda i primitaka'!$C$3:$C$502,"=41",'Unos prihoda i primitaka'!$L$3:$L$502,"=67")</f>
        <v>0</v>
      </c>
      <c r="H59" s="120">
        <f>SUMIFS('Unos prihoda i primitaka'!$I$3:$I$502,'Unos prihoda i primitaka'!$C$3:$C$502,"=43",'Unos prihoda i primitaka'!$L$3:$L$502,"=67")</f>
        <v>0</v>
      </c>
      <c r="I59" s="120">
        <f>SUMIFS('Unos prihoda i primitaka'!$I$3:$I$502,'Unos prihoda i primitaka'!$C$3:$C$502,"=51",'Unos prihoda i primitaka'!$L$3:$L$502,"=67")</f>
        <v>0</v>
      </c>
      <c r="J59" s="120">
        <f>SUMIFS('Unos prihoda i primitaka'!$I$3:$I$502,'Unos prihoda i primitaka'!$C$3:$C$502,"=52",'Unos prihoda i primitaka'!$L$3:$L$502,"=67")</f>
        <v>0</v>
      </c>
      <c r="K59" s="120">
        <f>SUMIFS('Unos prihoda i primitaka'!$I$3:$I$502,'Unos prihoda i primitaka'!$C$3:$C$502,"=552",'Unos prihoda i primitaka'!$L$3:$L$502,"=67")</f>
        <v>0</v>
      </c>
      <c r="L59" s="120">
        <f>SUMIFS('Unos prihoda i primitaka'!$I$3:$I$502,'Unos prihoda i primitaka'!$C$3:$C$502,"=559",'Unos prihoda i primitaka'!$L$3:$L$502,"=67")</f>
        <v>0</v>
      </c>
      <c r="M59" s="120">
        <f>SUMIFS('Unos prihoda i primitaka'!$I$3:$I$502,'Unos prihoda i primitaka'!$C$3:$C$502,"=561",'Unos prihoda i primitaka'!$L$3:$L$502,"=67")</f>
        <v>0</v>
      </c>
      <c r="N59" s="120">
        <f>SUMIFS('Unos prihoda i primitaka'!$I$3:$I$502,'Unos prihoda i primitaka'!$C$3:$C$502,"=563",'Unos prihoda i primitaka'!$L$3:$L$502,"=67")</f>
        <v>0</v>
      </c>
      <c r="O59" s="120">
        <f>SUMIFS('Unos prihoda i primitaka'!$I$3:$I$502,'Unos prihoda i primitaka'!$C$3:$C$502,"=573",'Unos prihoda i primitaka'!$L$3:$L$502,"=67")</f>
        <v>0</v>
      </c>
      <c r="P59" s="120">
        <f>SUMIFS('Unos prihoda i primitaka'!$I$3:$I$502,'Unos prihoda i primitaka'!$C$3:$C$502,"=575",'Unos prihoda i primitaka'!$L$3:$L$502,"=67")</f>
        <v>0</v>
      </c>
      <c r="Q59" s="120">
        <f>SUMIFS('Unos prihoda i primitaka'!$I$3:$I$502,'Unos prihoda i primitaka'!$C$3:$C$502,"=576",'Unos prihoda i primitaka'!$L$3:$L$502,"=67")</f>
        <v>0</v>
      </c>
      <c r="R59" s="120">
        <f>SUMIFS('Unos prihoda i primitaka'!$I$3:$I$502,'Unos prihoda i primitaka'!$C$3:$C$502,"=581",'Unos prihoda i primitaka'!$L$3:$L$502,"=67")</f>
        <v>0</v>
      </c>
      <c r="S59" s="120">
        <f>SUMIFS('Unos prihoda i primitaka'!$I$3:$I$502,'Unos prihoda i primitaka'!$C$3:$C$502,"=61",'Unos prihoda i primitaka'!$L$3:$L$502,"=67")</f>
        <v>0</v>
      </c>
      <c r="T59" s="120">
        <f>SUMIFS('Unos prihoda i primitaka'!$I$3:$I$502,'Unos prihoda i primitaka'!$C$3:$C$502,"=63",'Unos prihoda i primitaka'!$L$3:$L$502,"=67")</f>
        <v>0</v>
      </c>
      <c r="U59" s="120">
        <f>SUMIFS('Unos prihoda i primitaka'!$I$3:$I$502,'Unos prihoda i primitaka'!$C$3:$C$502,"=71",'Unos prihoda i primitaka'!$L$3:$L$502,"=67")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primitaka'!$I$3:$I$502,'Unos prihoda i primitaka'!$C$3:$C$502,"=11",'Unos prihoda i primitaka'!$L$3:$L$502,"=68")</f>
        <v>0</v>
      </c>
      <c r="E60" s="120">
        <f>SUMIFS('Unos prihoda i primitaka'!$I$3:$I$502,'Unos prihoda i primitaka'!$C$3:$C$502,"=12",'Unos prihoda i primitaka'!$L$3:$L$502,"=68")</f>
        <v>0</v>
      </c>
      <c r="F60" s="120">
        <f>SUMIFS('Unos prihoda i primitaka'!$I$3:$I$502,'Unos prihoda i primitaka'!$C$3:$C$502,"=31",'Unos prihoda i primitaka'!$L$3:$L$502,"=68")</f>
        <v>0</v>
      </c>
      <c r="G60" s="120">
        <f>SUMIFS('Unos prihoda i primitaka'!$I$3:$I$502,'Unos prihoda i primitaka'!$C$3:$C$502,"=41",'Unos prihoda i primitaka'!$L$3:$L$502,"=68")</f>
        <v>0</v>
      </c>
      <c r="H60" s="120">
        <f>SUMIFS('Unos prihoda i primitaka'!$I$3:$I$502,'Unos prihoda i primitaka'!$C$3:$C$502,"=43",'Unos prihoda i primitaka'!$L$3:$L$502,"=68")</f>
        <v>0</v>
      </c>
      <c r="I60" s="120">
        <f>SUMIFS('Unos prihoda i primitaka'!$I$3:$I$502,'Unos prihoda i primitaka'!$C$3:$C$502,"=51",'Unos prihoda i primitaka'!$L$3:$L$502,"=68")</f>
        <v>0</v>
      </c>
      <c r="J60" s="120">
        <f>SUMIFS('Unos prihoda i primitaka'!$I$3:$I$502,'Unos prihoda i primitaka'!$C$3:$C$502,"=52",'Unos prihoda i primitaka'!$L$3:$L$502,"=68")</f>
        <v>0</v>
      </c>
      <c r="K60" s="120">
        <f>SUMIFS('Unos prihoda i primitaka'!$I$3:$I$502,'Unos prihoda i primitaka'!$C$3:$C$502,"=552",'Unos prihoda i primitaka'!$L$3:$L$502,"=68")</f>
        <v>0</v>
      </c>
      <c r="L60" s="120">
        <f>SUMIFS('Unos prihoda i primitaka'!$I$3:$I$502,'Unos prihoda i primitaka'!$C$3:$C$502,"=559",'Unos prihoda i primitaka'!$L$3:$L$502,"=68")</f>
        <v>0</v>
      </c>
      <c r="M60" s="120">
        <f>SUMIFS('Unos prihoda i primitaka'!$I$3:$I$502,'Unos prihoda i primitaka'!$C$3:$C$502,"=561",'Unos prihoda i primitaka'!$L$3:$L$502,"=68")</f>
        <v>0</v>
      </c>
      <c r="N60" s="120">
        <f>SUMIFS('Unos prihoda i primitaka'!$I$3:$I$502,'Unos prihoda i primitaka'!$C$3:$C$502,"=563",'Unos prihoda i primitaka'!$L$3:$L$502,"=68")</f>
        <v>0</v>
      </c>
      <c r="O60" s="120">
        <f>SUMIFS('Unos prihoda i primitaka'!$I$3:$I$502,'Unos prihoda i primitaka'!$C$3:$C$502,"=573",'Unos prihoda i primitaka'!$L$3:$L$502,"=68")</f>
        <v>0</v>
      </c>
      <c r="P60" s="120">
        <f>SUMIFS('Unos prihoda i primitaka'!$I$3:$I$502,'Unos prihoda i primitaka'!$C$3:$C$502,"=575",'Unos prihoda i primitaka'!$L$3:$L$502,"=68")</f>
        <v>0</v>
      </c>
      <c r="Q60" s="120">
        <f>SUMIFS('Unos prihoda i primitaka'!$I$3:$I$502,'Unos prihoda i primitaka'!$C$3:$C$502,"=576",'Unos prihoda i primitaka'!$L$3:$L$502,"=68")</f>
        <v>0</v>
      </c>
      <c r="R60" s="120">
        <f>SUMIFS('Unos prihoda i primitaka'!$I$3:$I$502,'Unos prihoda i primitaka'!$C$3:$C$502,"=581",'Unos prihoda i primitaka'!$L$3:$L$502,"=68")</f>
        <v>0</v>
      </c>
      <c r="S60" s="120">
        <f>SUMIFS('Unos prihoda i primitaka'!$I$3:$I$502,'Unos prihoda i primitaka'!$C$3:$C$502,"=61",'Unos prihoda i primitaka'!$L$3:$L$502,"=68")</f>
        <v>0</v>
      </c>
      <c r="T60" s="120">
        <f>SUMIFS('Unos prihoda i primitaka'!$I$3:$I$502,'Unos prihoda i primitaka'!$C$3:$C$502,"=63",'Unos prihoda i primitaka'!$L$3:$L$502,"=68")</f>
        <v>0</v>
      </c>
      <c r="U60" s="120">
        <f>SUMIFS('Unos prihoda i primitaka'!$I$3:$I$502,'Unos prihoda i primitaka'!$C$3:$C$502,"=71",'Unos prihoda i primitaka'!$L$3:$L$502,"=68")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6550691</v>
      </c>
      <c r="D61" s="3">
        <f t="shared" ref="D61:U61" si="10">SUM(D48:D60)</f>
        <v>6083029</v>
      </c>
      <c r="E61" s="3">
        <f t="shared" si="10"/>
        <v>0</v>
      </c>
      <c r="F61" s="3">
        <f t="shared" si="10"/>
        <v>35529</v>
      </c>
      <c r="G61" s="3">
        <f t="shared" si="10"/>
        <v>0</v>
      </c>
      <c r="H61" s="3">
        <f t="shared" si="10"/>
        <v>325261</v>
      </c>
      <c r="I61" s="3">
        <f t="shared" si="10"/>
        <v>17111</v>
      </c>
      <c r="J61" s="3">
        <f t="shared" si="10"/>
        <v>89261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500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primitaka'!$I$3:$I$502,'Unos prihoda i primitaka'!$C$3:$C$502,"=11",'Unos prihoda i primitaka'!$L$3:$L$502,"=71")</f>
        <v>0</v>
      </c>
      <c r="E62" s="120">
        <f>SUMIFS('Unos prihoda i primitaka'!$I$3:$I$502,'Unos prihoda i primitaka'!$C$3:$C$502,"=12",'Unos prihoda i primitaka'!$L$3:$L$502,"=71")</f>
        <v>0</v>
      </c>
      <c r="F62" s="120">
        <f>SUMIFS('Unos prihoda i primitaka'!$I$3:$I$502,'Unos prihoda i primitaka'!$C$3:$C$502,"=31",'Unos prihoda i primitaka'!$L$3:$L$502,"=71")</f>
        <v>0</v>
      </c>
      <c r="G62" s="120">
        <f>SUMIFS('Unos prihoda i primitaka'!$I$3:$I$502,'Unos prihoda i primitaka'!$C$3:$C$502,"=41",'Unos prihoda i primitaka'!$L$3:$L$502,"=71")</f>
        <v>0</v>
      </c>
      <c r="H62" s="120">
        <f>SUMIFS('Unos prihoda i primitaka'!$I$3:$I$502,'Unos prihoda i primitaka'!$C$3:$C$502,"=43",'Unos prihoda i primitaka'!$L$3:$L$502,"=71")</f>
        <v>0</v>
      </c>
      <c r="I62" s="120">
        <f>SUMIFS('Unos prihoda i primitaka'!$I$3:$I$502,'Unos prihoda i primitaka'!$C$3:$C$502,"=51",'Unos prihoda i primitaka'!$L$3:$L$502,"=71")</f>
        <v>0</v>
      </c>
      <c r="J62" s="120">
        <f>SUMIFS('Unos prihoda i primitaka'!$I$3:$I$502,'Unos prihoda i primitaka'!$C$3:$C$502,"=52",'Unos prihoda i primitaka'!$L$3:$L$502,"=71")</f>
        <v>0</v>
      </c>
      <c r="K62" s="120">
        <f>SUMIFS('Unos prihoda i primitaka'!$I$3:$I$502,'Unos prihoda i primitaka'!$C$3:$C$502,"=552",'Unos prihoda i primitaka'!$L$3:$L$502,"=71")</f>
        <v>0</v>
      </c>
      <c r="L62" s="120">
        <f>SUMIFS('Unos prihoda i primitaka'!$I$3:$I$502,'Unos prihoda i primitaka'!$C$3:$C$502,"=559",'Unos prihoda i primitaka'!$L$3:$L$502,"=71")</f>
        <v>0</v>
      </c>
      <c r="M62" s="120">
        <f>SUMIFS('Unos prihoda i primitaka'!$I$3:$I$502,'Unos prihoda i primitaka'!$C$3:$C$502,"=561",'Unos prihoda i primitaka'!$L$3:$L$502,"=71")</f>
        <v>0</v>
      </c>
      <c r="N62" s="120">
        <f>SUMIFS('Unos prihoda i primitaka'!$I$3:$I$502,'Unos prihoda i primitaka'!$C$3:$C$502,"=563",'Unos prihoda i primitaka'!$L$3:$L$502,"=71")</f>
        <v>0</v>
      </c>
      <c r="O62" s="120">
        <f>SUMIFS('Unos prihoda i primitaka'!$I$3:$I$502,'Unos prihoda i primitaka'!$C$3:$C$502,"=573",'Unos prihoda i primitaka'!$L$3:$L$502,"=71")</f>
        <v>0</v>
      </c>
      <c r="P62" s="120">
        <f>SUMIFS('Unos prihoda i primitaka'!$I$3:$I$502,'Unos prihoda i primitaka'!$C$3:$C$502,"=575",'Unos prihoda i primitaka'!$L$3:$L$502,"=71")</f>
        <v>0</v>
      </c>
      <c r="Q62" s="120">
        <f>SUMIFS('Unos prihoda i primitaka'!$I$3:$I$502,'Unos prihoda i primitaka'!$C$3:$C$502,"=576",'Unos prihoda i primitaka'!$L$3:$L$502,"=71")</f>
        <v>0</v>
      </c>
      <c r="R62" s="120">
        <f>SUMIFS('Unos prihoda i primitaka'!$I$3:$I$502,'Unos prihoda i primitaka'!$C$3:$C$502,"=581",'Unos prihoda i primitaka'!$L$3:$L$502,"=71")</f>
        <v>0</v>
      </c>
      <c r="S62" s="120">
        <f>SUMIFS('Unos prihoda i primitaka'!$I$3:$I$502,'Unos prihoda i primitaka'!$C$3:$C$502,"=61",'Unos prihoda i primitaka'!$L$3:$L$502,"=71")</f>
        <v>0</v>
      </c>
      <c r="T62" s="120">
        <f>SUMIFS('Unos prihoda i primitaka'!$I$3:$I$502,'Unos prihoda i primitaka'!$C$3:$C$502,"=63",'Unos prihoda i primitaka'!$L$3:$L$502,"=71")</f>
        <v>0</v>
      </c>
      <c r="U62" s="120">
        <f>SUMIFS('Unos prihoda i primitaka'!$I$3:$I$502,'Unos prihoda i primitaka'!$C$3:$C$502,"=71",'Unos prihoda i primitaka'!$L$3:$L$502,"=71")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primitaka'!$I$3:$I$502,'Unos prihoda i primitaka'!$C$3:$C$502,"=11",'Unos prihoda i primitaka'!$L$3:$L$502,"=72")</f>
        <v>0</v>
      </c>
      <c r="E63" s="120">
        <f>SUMIFS('Unos prihoda i primitaka'!$I$3:$I$502,'Unos prihoda i primitaka'!$C$3:$C$502,"=12",'Unos prihoda i primitaka'!$L$3:$L$502,"=72")</f>
        <v>0</v>
      </c>
      <c r="F63" s="120">
        <f>SUMIFS('Unos prihoda i primitaka'!$I$3:$I$502,'Unos prihoda i primitaka'!$C$3:$C$502,"=31",'Unos prihoda i primitaka'!$L$3:$L$502,"=72")</f>
        <v>0</v>
      </c>
      <c r="G63" s="120">
        <f>SUMIFS('Unos prihoda i primitaka'!$I$3:$I$502,'Unos prihoda i primitaka'!$C$3:$C$502,"=41",'Unos prihoda i primitaka'!$L$3:$L$502,"=72")</f>
        <v>0</v>
      </c>
      <c r="H63" s="120">
        <f>SUMIFS('Unos prihoda i primitaka'!$I$3:$I$502,'Unos prihoda i primitaka'!$C$3:$C$502,"=43",'Unos prihoda i primitaka'!$L$3:$L$502,"=72")</f>
        <v>0</v>
      </c>
      <c r="I63" s="120">
        <f>SUMIFS('Unos prihoda i primitaka'!$I$3:$I$502,'Unos prihoda i primitaka'!$C$3:$C$502,"=51",'Unos prihoda i primitaka'!$L$3:$L$502,"=72")</f>
        <v>0</v>
      </c>
      <c r="J63" s="120">
        <f>SUMIFS('Unos prihoda i primitaka'!$I$3:$I$502,'Unos prihoda i primitaka'!$C$3:$C$502,"=52",'Unos prihoda i primitaka'!$L$3:$L$502,"=72")</f>
        <v>0</v>
      </c>
      <c r="K63" s="120">
        <f>SUMIFS('Unos prihoda i primitaka'!$I$3:$I$502,'Unos prihoda i primitaka'!$C$3:$C$502,"=552",'Unos prihoda i primitaka'!$L$3:$L$502,"=72")</f>
        <v>0</v>
      </c>
      <c r="L63" s="120">
        <f>SUMIFS('Unos prihoda i primitaka'!$I$3:$I$502,'Unos prihoda i primitaka'!$C$3:$C$502,"=559",'Unos prihoda i primitaka'!$L$3:$L$502,"=72")</f>
        <v>0</v>
      </c>
      <c r="M63" s="120">
        <f>SUMIFS('Unos prihoda i primitaka'!$I$3:$I$502,'Unos prihoda i primitaka'!$C$3:$C$502,"=561",'Unos prihoda i primitaka'!$L$3:$L$502,"=72")</f>
        <v>0</v>
      </c>
      <c r="N63" s="120">
        <f>SUMIFS('Unos prihoda i primitaka'!$I$3:$I$502,'Unos prihoda i primitaka'!$C$3:$C$502,"=563",'Unos prihoda i primitaka'!$L$3:$L$502,"=72")</f>
        <v>0</v>
      </c>
      <c r="O63" s="120">
        <f>SUMIFS('Unos prihoda i primitaka'!$I$3:$I$502,'Unos prihoda i primitaka'!$C$3:$C$502,"=573",'Unos prihoda i primitaka'!$L$3:$L$502,"=72")</f>
        <v>0</v>
      </c>
      <c r="P63" s="120">
        <f>SUMIFS('Unos prihoda i primitaka'!$I$3:$I$502,'Unos prihoda i primitaka'!$C$3:$C$502,"=575",'Unos prihoda i primitaka'!$L$3:$L$502,"=72")</f>
        <v>0</v>
      </c>
      <c r="Q63" s="120">
        <f>SUMIFS('Unos prihoda i primitaka'!$I$3:$I$502,'Unos prihoda i primitaka'!$C$3:$C$502,"=576",'Unos prihoda i primitaka'!$L$3:$L$502,"=72")</f>
        <v>0</v>
      </c>
      <c r="R63" s="120">
        <f>SUMIFS('Unos prihoda i primitaka'!$I$3:$I$502,'Unos prihoda i primitaka'!$C$3:$C$502,"=581",'Unos prihoda i primitaka'!$L$3:$L$502,"=72")</f>
        <v>0</v>
      </c>
      <c r="S63" s="120">
        <f>SUMIFS('Unos prihoda i primitaka'!$I$3:$I$502,'Unos prihoda i primitaka'!$C$3:$C$502,"=61",'Unos prihoda i primitaka'!$L$3:$L$502,"=72")</f>
        <v>0</v>
      </c>
      <c r="T63" s="120">
        <f>SUMIFS('Unos prihoda i primitaka'!$I$3:$I$502,'Unos prihoda i primitaka'!$C$3:$C$502,"=63",'Unos prihoda i primitaka'!$L$3:$L$502,"=72")</f>
        <v>0</v>
      </c>
      <c r="U63" s="120">
        <f>SUMIFS('Unos prihoda i primitaka'!$I$3:$I$502,'Unos prihoda i primitaka'!$C$3:$C$502,"=71",'Unos prihoda i primitaka'!$L$3:$L$502,"=72")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1" sqref="E21"/>
    </sheetView>
  </sheetViews>
  <sheetFormatPr defaultColWidth="11.44140625" defaultRowHeight="13.8"/>
  <cols>
    <col min="1" max="1" width="10" style="16" customWidth="1"/>
    <col min="2" max="2" width="40" style="17" customWidth="1"/>
    <col min="3" max="3" width="13.88671875" style="1" customWidth="1"/>
    <col min="4" max="14" width="13.109375" style="18" customWidth="1"/>
    <col min="15" max="15" width="14.44140625" style="18" customWidth="1"/>
    <col min="16" max="20" width="13.109375" style="18" customWidth="1"/>
    <col min="21" max="21" width="14.6640625" style="18" customWidth="1"/>
    <col min="22" max="22" width="13.109375" style="18" customWidth="1"/>
    <col min="23" max="38" width="11.44140625" style="28" customWidth="1"/>
    <col min="39" max="192" width="11.44140625" style="28"/>
    <col min="193" max="16384" width="11.44140625" style="29"/>
  </cols>
  <sheetData>
    <row r="1" spans="1:262" ht="24" customHeight="1">
      <c r="A1" s="386" t="s">
        <v>5105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9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 t="s">
        <v>5274</v>
      </c>
      <c r="B4" s="335" t="s">
        <v>5271</v>
      </c>
      <c r="C4" s="60">
        <f>SUM(D4:V4)</f>
        <v>5807787</v>
      </c>
      <c r="D4" s="61">
        <f>D5+D32</f>
        <v>5415165</v>
      </c>
      <c r="E4" s="61">
        <f t="shared" ref="E4:V4" si="0">E5+E32</f>
        <v>0</v>
      </c>
      <c r="F4" s="61">
        <f t="shared" si="0"/>
        <v>32864</v>
      </c>
      <c r="G4" s="61">
        <f t="shared" si="0"/>
        <v>0</v>
      </c>
      <c r="H4" s="61">
        <f t="shared" si="0"/>
        <v>358258</v>
      </c>
      <c r="I4" s="61">
        <f t="shared" si="0"/>
        <v>0</v>
      </c>
      <c r="J4" s="61">
        <f>J5+J32</f>
        <v>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1500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5748923</v>
      </c>
      <c r="D5" s="68">
        <f>+D6+D12+D17+D21+D25+D30+D31</f>
        <v>5415165</v>
      </c>
      <c r="E5" s="68">
        <f t="shared" ref="E5:V5" si="1">+E6+E12+E17+E21+E25+E30+E31</f>
        <v>0</v>
      </c>
      <c r="F5" s="68">
        <f t="shared" si="1"/>
        <v>23500</v>
      </c>
      <c r="G5" s="68">
        <f t="shared" si="1"/>
        <v>0</v>
      </c>
      <c r="H5" s="68">
        <f t="shared" si="1"/>
        <v>308758</v>
      </c>
      <c r="I5" s="68">
        <f t="shared" si="1"/>
        <v>0</v>
      </c>
      <c r="J5" s="68">
        <f t="shared" si="1"/>
        <v>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1500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5041675</v>
      </c>
      <c r="D6" s="74">
        <f>SUMIFS('Unos rashoda i izdataka'!$J$3:$J$504,'Unos rashoda i izdataka'!$C$3:$C$504,"=11",'Unos rashoda i izdataka'!$P$3:$P$504,"=31")+SUMIFS('Unos rashoda P4'!$H$3:$H$501,'Unos rashoda P4'!$A$3:$A$501,"=11",'Unos rashoda P4'!$S$3:$S$501,"=31")</f>
        <v>4995342</v>
      </c>
      <c r="E6" s="74">
        <f>SUMIFS('Unos rashoda i izdataka'!$J$3:$J$504,'Unos rashoda i izdataka'!$C$3:$C$504,"=12",'Unos rashoda i izdataka'!$P$3:$P$504,"=31")+SUMIFS('Unos rashoda P4'!$H$3:$H$501,'Unos rashoda P4'!$A$3:$A$501,"=12",'Unos rashoda P4'!$S$3:$S$501,"=31")</f>
        <v>0</v>
      </c>
      <c r="F6" s="74">
        <f>SUMIFS('Unos rashoda i izdataka'!$J$3:$J$504,'Unos rashoda i izdataka'!$C$3:$C$504,"=31",'Unos rashoda i izdataka'!$P$3:$P$504,"=31")+SUMIFS('Unos rashoda P4'!$H$3:$H$501,'Unos rashoda P4'!$A$3:$A$501,"=31",'Unos rashoda P4'!$S$3:$S$501,"=31")</f>
        <v>16000</v>
      </c>
      <c r="G6" s="74">
        <f>SUMIFS('Unos rashoda i izdataka'!$J$3:$J$504,'Unos rashoda i izdataka'!$C$3:$C$504,"=41",'Unos rashoda i izdataka'!$P$3:$P$504,"=31")+SUMIFS('Unos rashoda P4'!$H$3:$H$501,'Unos rashoda P4'!$A$3:$A$501,"=41",'Unos rashoda P4'!$S$3:$S$501,"=31")</f>
        <v>0</v>
      </c>
      <c r="H6" s="74">
        <f>SUMIFS('Unos rashoda i izdataka'!$J$3:$J$504,'Unos rashoda i izdataka'!$C$3:$C$504,"=43",'Unos rashoda i izdataka'!$P$3:$P$504,"=31")+SUMIFS('Unos rashoda P4'!$H$3:$H$501,'Unos rashoda P4'!$A$3:$A$501,"=43",'Unos rashoda P4'!$S$3:$S$501,"=31")</f>
        <v>30333</v>
      </c>
      <c r="I6" s="74">
        <f>SUMIFS('Unos rashoda i izdataka'!$J$3:$J$504,'Unos rashoda i izdataka'!$C$3:$C$504,"=51",'Unos rashoda i izdataka'!$P$3:$P$504,"=31")+SUMIFS('Unos rashoda P4'!$H$3:$H$501,'Unos rashoda P4'!$A$3:$A$501,"=51",'Unos rashoda P4'!$S$3:$S$501,"=31")</f>
        <v>0</v>
      </c>
      <c r="J6" s="74">
        <f>SUMIFS('Unos rashoda i izdataka'!$J$3:$J$504,'Unos rashoda i izdataka'!$C$3:$C$504,"=52",'Unos rashoda i izdataka'!$P$3:$P$504,"=31")+SUMIFS('Unos rashoda P4'!$H$3:$H$501,'Unos rashoda P4'!$A$3:$A$501,"=52",'Unos rashoda P4'!$S$3:$S$501,"=31")</f>
        <v>0</v>
      </c>
      <c r="K6" s="74">
        <f>SUMIFS('Unos rashoda i izdataka'!$J$3:$J$504,'Unos rashoda i izdataka'!$C$3:$C$504,"=552",'Unos rashoda i izdataka'!$P$3:$P$504,"=31")+SUMIFS('Unos rashoda P4'!$H$3:$H$501,'Unos rashoda P4'!$A$3:$A$501,"=552",'Unos rashoda P4'!$S$3:$S$501,"=31")</f>
        <v>0</v>
      </c>
      <c r="L6" s="74">
        <f>SUMIFS('Unos rashoda i izdataka'!$J$3:$J$504,'Unos rashoda i izdataka'!$C$3:$C$504,"=559",'Unos rashoda i izdataka'!$P$3:$P$504,"=31")+SUMIFS('Unos rashoda P4'!$H$3:$H$501,'Unos rashoda P4'!$A$3:$A$501,"=559",'Unos rashoda P4'!$S$3:$S$501,"=31")</f>
        <v>0</v>
      </c>
      <c r="M6" s="74">
        <f>SUMIFS('Unos rashoda i izdataka'!$J$3:$J$504,'Unos rashoda i izdataka'!$C$3:$C$504,"=561",'Unos rashoda i izdataka'!$P$3:$P$504,"=31")+SUMIFS('Unos rashoda P4'!$H$3:$H$501,'Unos rashoda P4'!$A$3:$A$501,"=561",'Unos rashoda P4'!$S$3:$S$501,"=31")</f>
        <v>0</v>
      </c>
      <c r="N6" s="74">
        <f>SUMIFS('Unos rashoda i izdataka'!$J$3:$J$504,'Unos rashoda i izdataka'!$C$3:$C$504,"=563",'Unos rashoda i izdataka'!$P$3:$P$504,"=31")+SUMIFS('Unos rashoda P4'!$H$3:$H$501,'Unos rashoda P4'!$A$3:$A$501,"=563",'Unos rashoda P4'!$S$3:$S$501,"=31")</f>
        <v>0</v>
      </c>
      <c r="O6" s="74">
        <f>SUMIFS('Unos rashoda i izdataka'!$J$3:$J$504,'Unos rashoda i izdataka'!$C$3:$C$504,"=573",'Unos rashoda i izdataka'!$P$3:$P$504,"=31")+SUMIFS('Unos rashoda P4'!$H$3:$H$501,'Unos rashoda P4'!$A$3:$A$501,"=573",'Unos rashoda P4'!$S$3:$S$501,"=31")</f>
        <v>0</v>
      </c>
      <c r="P6" s="74">
        <f>SUMIFS('Unos rashoda i izdataka'!$J$3:$J$504,'Unos rashoda i izdataka'!$C$3:$C$504,"=575",'Unos rashoda i izdataka'!$P$3:$P$504,"=31")+SUMIFS('Unos rashoda P4'!$H$3:$H$501,'Unos rashoda P4'!$A$3:$A$501,"=575",'Unos rashoda P4'!$S$3:$S$501,"=31")</f>
        <v>0</v>
      </c>
      <c r="Q6" s="74">
        <f>SUMIFS('Unos rashoda i izdataka'!$J$3:$J$504,'Unos rashoda i izdataka'!$Q$3:$Q$504,"=576",'Unos rashoda i izdataka'!$P$3:$P$504,"=31")+SUMIFS('Unos rashoda P4'!$H$3:$H$501,'Unos rashoda P4'!$A$3:$A$501,"=576",'Unos rashoda P4'!$S$3:$S$501,"=31")</f>
        <v>0</v>
      </c>
      <c r="R6" s="74">
        <f>SUMIFS('Unos rashoda i izdataka'!$J$3:$J$504,'Unos rashoda i izdataka'!$C$3:$C$504,"=581",'Unos rashoda i izdataka'!$P$3:$P$504,"=31")+SUMIFS('Unos rashoda P4'!$H$3:$H$501,'Unos rashoda P4'!$A$3:$A$501,"=581",'Unos rashoda P4'!$S$3:$S$501,"=31")</f>
        <v>0</v>
      </c>
      <c r="S6" s="74">
        <f>SUMIFS('Unos rashoda i izdataka'!$J$3:$J$504,'Unos rashoda i izdataka'!$C$3:$C$504,"=61",'Unos rashoda i izdataka'!$P$3:$P$504,"=31")+SUMIFS('Unos rashoda P4'!$H$3:$H$501,'Unos rashoda P4'!$A$3:$A$501,"=61",'Unos rashoda P4'!$S$3:$S$501,"=31")</f>
        <v>0</v>
      </c>
      <c r="T6" s="74">
        <f>SUMIFS('Unos rashoda i izdataka'!$J$3:$J$504,'Unos rashoda i izdataka'!$C$3:$C$504,"=63",'Unos rashoda i izdataka'!$P$3:$P$504,"=31")+SUMIFS('Unos rashoda P4'!$H$3:$H$501,'Unos rashoda P4'!$A$3:$A$501,"=63",'Unos rashoda P4'!$S$3:$S$501,"=31")</f>
        <v>0</v>
      </c>
      <c r="U6" s="74">
        <f>SUMIFS('Unos rashoda i izdataka'!$J$3:$J$504,'Unos rashoda i izdataka'!$C$3:$C$504,"=71",'Unos rashoda i izdataka'!$P$3:$P$504,"=31")+SUMIFS('Unos rashoda P4'!$H$3:$H$501,'Unos rashoda P4'!$A$3:$A$501,"=71",'Unos rashoda P4'!$S$3:$S$501,"=31")</f>
        <v>0</v>
      </c>
      <c r="V6" s="74">
        <f>SUMIFS('Unos rashoda i izdataka'!$J$3:$J$504,'Unos rashoda i izdataka'!$C$3:$C$504,"=81",'Unos rashoda i izdataka'!$P$3:$P$504,"=31")+SUMIFS('Unos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705180</v>
      </c>
      <c r="D12" s="74">
        <f>SUMIFS('Unos rashoda i izdataka'!$J$3:$J$504,'Unos rashoda i izdataka'!$C$3:$C$504,"=11",'Unos rashoda i izdataka'!$P$3:$P$504,"=32")+SUMIFS('Unos rashoda P4'!$H$3:$H$501,'Unos rashoda P4'!$A$3:$A$501,"=11",'Unos rashoda P4'!$S$3:$S$501,"=32")</f>
        <v>419823</v>
      </c>
      <c r="E12" s="74">
        <f>SUMIFS('Unos rashoda i izdataka'!$J$3:$J$504,'Unos rashoda i izdataka'!$C$3:$C$504,"=12",'Unos rashoda i izdataka'!$P$3:$P$504,"=32")+SUMIFS('Unos rashoda P4'!$H$3:$H$501,'Unos rashoda P4'!$A$3:$A$501,"=12",'Unos rashoda P4'!$S$3:$S$501,"=32")</f>
        <v>0</v>
      </c>
      <c r="F12" s="74">
        <f>SUMIFS('Unos rashoda i izdataka'!$J$3:$J$504,'Unos rashoda i izdataka'!$C$3:$C$504,"=31",'Unos rashoda i izdataka'!$P$3:$P$504,"=32")+SUMIFS('Unos rashoda P4'!$H$3:$H$501,'Unos rashoda P4'!$A$3:$A$501,"=31",'Unos rashoda P4'!$S$3:$S$501,"=32")</f>
        <v>7500</v>
      </c>
      <c r="G12" s="74">
        <f>SUMIFS('Unos rashoda i izdataka'!$J$3:$J$504,'Unos rashoda i izdataka'!$C$3:$C$504,"=41",'Unos rashoda i izdataka'!$P$3:$P$504,"=32")+SUMIFS('Unos rashoda P4'!$H$3:$H$501,'Unos rashoda P4'!$A$3:$A$501,"=41",'Unos rashoda P4'!$S$3:$S$501,"=32")</f>
        <v>0</v>
      </c>
      <c r="H12" s="74">
        <f>SUMIFS('Unos rashoda i izdataka'!$J$3:$J$504,'Unos rashoda i izdataka'!$C$3:$C$504,"=43",'Unos rashoda i izdataka'!$P$3:$P$504,"=32")+SUMIFS('Unos rashoda P4'!$H$3:$H$501,'Unos rashoda P4'!$A$3:$A$501,"=43",'Unos rashoda P4'!$S$3:$S$501,"=32")</f>
        <v>276357</v>
      </c>
      <c r="I12" s="74">
        <f>SUMIFS('Unos rashoda i izdataka'!$J$3:$J$504,'Unos rashoda i izdataka'!$C$3:$C$504,"=51",'Unos rashoda i izdataka'!$P$3:$P$504,"=32")+SUMIFS('Unos rashoda P4'!$H$3:$H$501,'Unos rashoda P4'!$A$3:$A$501,"=51",'Unos rashoda P4'!$S$3:$S$501,"=32")</f>
        <v>0</v>
      </c>
      <c r="J12" s="74">
        <f>SUMIFS('Unos rashoda i izdataka'!$J$3:$J$504,'Unos rashoda i izdataka'!$C$3:$C$504,"=52",'Unos rashoda i izdataka'!$P$3:$P$504,"=32")+SUMIFS('Unos rashoda P4'!$H$3:$H$501,'Unos rashoda P4'!$A$3:$A$501,"=52",'Unos rashoda P4'!$S$3:$S$501,"=32")</f>
        <v>0</v>
      </c>
      <c r="K12" s="74">
        <f>SUMIFS('Unos rashoda i izdataka'!$J$3:$J$504,'Unos rashoda i izdataka'!$C$3:$C$504,"=552",'Unos rashoda i izdataka'!$P$3:$P$504,"=32")+SUMIFS('Unos rashoda P4'!$H$3:$H$501,'Unos rashoda P4'!$A$3:$A$501,"=552",'Unos rashoda P4'!$S$3:$S$501,"=32")</f>
        <v>0</v>
      </c>
      <c r="L12" s="74">
        <f>SUMIFS('Unos rashoda i izdataka'!$J$3:$J$504,'Unos rashoda i izdataka'!$C$3:$C$504,"=559",'Unos rashoda i izdataka'!$P$3:$P$504,"=32")+SUMIFS('Unos rashoda P4'!$H$3:$H$501,'Unos rashoda P4'!$A$3:$A$501,"=559",'Unos rashoda P4'!$S$3:$S$501,"=32")</f>
        <v>0</v>
      </c>
      <c r="M12" s="74">
        <f>SUMIFS('Unos rashoda i izdataka'!$J$3:$J$504,'Unos rashoda i izdataka'!$C$3:$C$504,"=561",'Unos rashoda i izdataka'!$P$3:$P$504,"=32")+SUMIFS('Unos rashoda P4'!$H$3:$H$501,'Unos rashoda P4'!$A$3:$A$501,"=561",'Unos rashoda P4'!$S$3:$S$501,"=32")</f>
        <v>0</v>
      </c>
      <c r="N12" s="74">
        <f>SUMIFS('Unos rashoda i izdataka'!$J$3:$J$504,'Unos rashoda i izdataka'!$C$3:$C$504,"=563",'Unos rashoda i izdataka'!$P$3:$P$504,"=32")+SUMIFS('Unos rashoda P4'!$H$3:$H$501,'Unos rashoda P4'!$A$3:$A$501,"=563",'Unos rashoda P4'!$S$3:$S$501,"=32")</f>
        <v>0</v>
      </c>
      <c r="O12" s="74">
        <f>SUMIFS('Unos rashoda i izdataka'!$J$3:$J$504,'Unos rashoda i izdataka'!$C$3:$C$504,"=573",'Unos rashoda i izdataka'!$P$3:$P$504,"=32")+SUMIFS('Unos rashoda P4'!$H$3:$H$501,'Unos rashoda P4'!$A$3:$A$501,"=573",'Unos rashoda P4'!$S$3:$S$501,"=32")</f>
        <v>0</v>
      </c>
      <c r="P12" s="74">
        <f>SUMIFS('Unos rashoda i izdataka'!$J$3:$J$504,'Unos rashoda i izdataka'!$C$3:$C$504,"=575",'Unos rashoda i izdataka'!$P$3:$P$504,"=32")+SUMIFS('Unos rashoda P4'!$H$3:$H$501,'Unos rashoda P4'!$A$3:$A$501,"=575",'Unos rashoda P4'!$S$3:$S$501,"=32")</f>
        <v>0</v>
      </c>
      <c r="Q12" s="74">
        <f>SUMIFS('Unos rashoda i izdataka'!$J$3:$J$504,'Unos rashoda i izdataka'!$Q$3:$Q$504,"=576",'Unos rashoda i izdataka'!$P$3:$P$504,"=32")+SUMIFS('Unos rashoda P4'!$H$3:$H$501,'Unos rashoda P4'!$A$3:$A$501,"=576",'Unos rashoda P4'!$S$3:$S$501,"=32")</f>
        <v>0</v>
      </c>
      <c r="R12" s="74">
        <f>SUMIFS('Unos rashoda i izdataka'!$J$3:$J$504,'Unos rashoda i izdataka'!$C$3:$C$504,"=581",'Unos rashoda i izdataka'!$P$3:$P$504,"=32")+SUMIFS('Unos rashoda P4'!$H$3:$H$501,'Unos rashoda P4'!$A$3:$A$501,"=581",'Unos rashoda P4'!$S$3:$S$501,"=32")</f>
        <v>0</v>
      </c>
      <c r="S12" s="74">
        <f>SUMIFS('Unos rashoda i izdataka'!$J$3:$J$504,'Unos rashoda i izdataka'!$C$3:$C$504,"=61",'Unos rashoda i izdataka'!$P$3:$P$504,"=32")+SUMIFS('Unos rashoda P4'!$H$3:$H$501,'Unos rashoda P4'!$A$3:$A$501,"=61",'Unos rashoda P4'!$S$3:$S$501,"=32")</f>
        <v>1500</v>
      </c>
      <c r="T12" s="74">
        <f>SUMIFS('Unos rashoda i izdataka'!$J$3:$J$504,'Unos rashoda i izdataka'!$C$3:$C$504,"=63",'Unos rashoda i izdataka'!$P$3:$P$504,"=32")+SUMIFS('Unos rashoda P4'!$H$3:$H$501,'Unos rashoda P4'!$A$3:$A$501,"=63",'Unos rashoda P4'!$S$3:$S$501,"=32")</f>
        <v>0</v>
      </c>
      <c r="U12" s="74">
        <f>SUMIFS('Unos rashoda i izdataka'!$J$3:$J$504,'Unos rashoda i izdataka'!$C$3:$C$504,"=71",'Unos rashoda i izdataka'!$P$3:$P$504,"=32")+SUMIFS('Unos rashoda P4'!$H$3:$H$501,'Unos rashoda P4'!$A$3:$A$501,"=71",'Unos rashoda P4'!$S$3:$S$501,"=32")</f>
        <v>0</v>
      </c>
      <c r="V12" s="74">
        <f>SUMIFS('Unos rashoda i izdataka'!$J$3:$J$504,'Unos rashoda i izdataka'!$C$3:$C$504,"=81",'Unos rashoda i izdataka'!$P$3:$P$504,"=32")+SUMIFS('Unos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2068</v>
      </c>
      <c r="D17" s="74">
        <f>SUMIFS('Unos rashoda i izdataka'!$J$3:$J$504,'Unos rashoda i izdataka'!$C$3:$C$504,"=11",'Unos rashoda i izdataka'!$P$3:$P$504,"=34")+SUMIFS('Unos rashoda P4'!$H$3:$H$501,'Unos rashoda P4'!$A$3:$A$501,"=11",'Unos rashoda P4'!$S$3:$S$501,"=34")</f>
        <v>0</v>
      </c>
      <c r="E17" s="74">
        <f>SUMIFS('Unos rashoda i izdataka'!$J$3:$J$504,'Unos rashoda i izdataka'!$C$3:$C$504,"=12",'Unos rashoda i izdataka'!$P$3:$P$504,"=34")+SUMIFS('Unos rashoda P4'!$H$3:$H$501,'Unos rashoda P4'!$A$3:$A$501,"=12",'Unos rashoda P4'!$S$3:$S$501,"=34")</f>
        <v>0</v>
      </c>
      <c r="F17" s="74">
        <f>SUMIFS('Unos rashoda i izdataka'!$J$3:$J$504,'Unos rashoda i izdataka'!$C$3:$C$504,"=31",'Unos rashoda i izdataka'!$P$3:$P$504,"=34")+SUMIFS('Unos rashoda P4'!$H$3:$H$501,'Unos rashoda P4'!$A$3:$A$501,"=31",'Unos rashoda P4'!$S$3:$S$501,"=34")</f>
        <v>0</v>
      </c>
      <c r="G17" s="74">
        <f>SUMIFS('Unos rashoda i izdataka'!$J$3:$J$504,'Unos rashoda i izdataka'!$C$3:$C$504,"=41",'Unos rashoda i izdataka'!$P$3:$P$504,"=34")+SUMIFS('Unos rashoda P4'!$H$3:$H$501,'Unos rashoda P4'!$A$3:$A$501,"=41",'Unos rashoda P4'!$S$3:$S$501,"=34")</f>
        <v>0</v>
      </c>
      <c r="H17" s="74">
        <f>SUMIFS('Unos rashoda i izdataka'!$J$3:$J$504,'Unos rashoda i izdataka'!$C$3:$C$504,"=43",'Unos rashoda i izdataka'!$P$3:$P$504,"=34")+SUMIFS('Unos rashoda P4'!$H$3:$H$501,'Unos rashoda P4'!$A$3:$A$501,"=43",'Unos rashoda P4'!$S$3:$S$501,"=34")</f>
        <v>2068</v>
      </c>
      <c r="I17" s="74">
        <f>SUMIFS('Unos rashoda i izdataka'!$J$3:$J$504,'Unos rashoda i izdataka'!$C$3:$C$504,"=51",'Unos rashoda i izdataka'!$P$3:$P$504,"=34")+SUMIFS('Unos rashoda P4'!$H$3:$H$501,'Unos rashoda P4'!$A$3:$A$501,"=51",'Unos rashoda P4'!$S$3:$S$501,"=34")</f>
        <v>0</v>
      </c>
      <c r="J17" s="74">
        <f>SUMIFS('Unos rashoda i izdataka'!$J$3:$J$504,'Unos rashoda i izdataka'!$C$3:$C$504,"=52",'Unos rashoda i izdataka'!$P$3:$P$504,"=34")+SUMIFS('Unos rashoda P4'!$H$3:$H$501,'Unos rashoda P4'!$A$3:$A$501,"=52",'Unos rashoda P4'!$S$3:$S$501,"=34")</f>
        <v>0</v>
      </c>
      <c r="K17" s="74">
        <f>SUMIFS('Unos rashoda i izdataka'!$J$3:$J$504,'Unos rashoda i izdataka'!$C$3:$C$504,"=552",'Unos rashoda i izdataka'!$P$3:$P$504,"=34")+SUMIFS('Unos rashoda P4'!$H$3:$H$501,'Unos rashoda P4'!$A$3:$A$501,"=552",'Unos rashoda P4'!$S$3:$S$501,"=34")</f>
        <v>0</v>
      </c>
      <c r="L17" s="74">
        <f>SUMIFS('Unos rashoda i izdataka'!$J$3:$J$504,'Unos rashoda i izdataka'!$C$3:$C$504,"=559",'Unos rashoda i izdataka'!$P$3:$P$504,"=34")+SUMIFS('Unos rashoda P4'!$H$3:$H$501,'Unos rashoda P4'!$A$3:$A$501,"=559",'Unos rashoda P4'!$S$3:$S$501,"=34")</f>
        <v>0</v>
      </c>
      <c r="M17" s="74">
        <f>SUMIFS('Unos rashoda i izdataka'!$J$3:$J$504,'Unos rashoda i izdataka'!$C$3:$C$504,"=561",'Unos rashoda i izdataka'!$P$3:$P$504,"=34")+SUMIFS('Unos rashoda P4'!$H$3:$H$501,'Unos rashoda P4'!$A$3:$A$501,"=561",'Unos rashoda P4'!$S$3:$S$501,"=34")</f>
        <v>0</v>
      </c>
      <c r="N17" s="74">
        <f>SUMIFS('Unos rashoda i izdataka'!$J$3:$J$504,'Unos rashoda i izdataka'!$C$3:$C$504,"=563",'Unos rashoda i izdataka'!$P$3:$P$504,"=34")+SUMIFS('Unos rashoda P4'!$H$3:$H$501,'Unos rashoda P4'!$A$3:$A$501,"=563",'Unos rashoda P4'!$S$3:$S$501,"=34")</f>
        <v>0</v>
      </c>
      <c r="O17" s="74">
        <f>SUMIFS('Unos rashoda i izdataka'!$J$3:$J$504,'Unos rashoda i izdataka'!$C$3:$C$504,"=573",'Unos rashoda i izdataka'!$P$3:$P$504,"=34")+SUMIFS('Unos rashoda P4'!$H$3:$H$501,'Unos rashoda P4'!$A$3:$A$501,"=573",'Unos rashoda P4'!$S$3:$S$501,"=34")</f>
        <v>0</v>
      </c>
      <c r="P17" s="74">
        <f>SUMIFS('Unos rashoda i izdataka'!$J$3:$J$504,'Unos rashoda i izdataka'!$C$3:$C$504,"=575",'Unos rashoda i izdataka'!$P$3:$P$504,"=34")+SUMIFS('Unos rashoda P4'!$H$3:$H$501,'Unos rashoda P4'!$A$3:$A$501,"=575",'Unos rashoda P4'!$S$3:$S$501,"=34")</f>
        <v>0</v>
      </c>
      <c r="Q17" s="74">
        <f>SUMIFS('Unos rashoda i izdataka'!$J$3:$J$504,'Unos rashoda i izdataka'!$Q$3:$Q$504,"=576",'Unos rashoda i izdataka'!$P$3:$P$504,"=34")+SUMIFS('Unos rashoda P4'!$H$3:$H$501,'Unos rashoda P4'!$A$3:$A$501,"=576",'Unos rashoda P4'!$S$3:$S$501,"=34")</f>
        <v>0</v>
      </c>
      <c r="R17" s="74">
        <f>SUMIFS('Unos rashoda i izdataka'!$J$3:$J$504,'Unos rashoda i izdataka'!$C$3:$C$504,"=581",'Unos rashoda i izdataka'!$P$3:$P$504,"=34")+SUMIFS('Unos rashoda P4'!$H$3:$H$501,'Unos rashoda P4'!$A$3:$A$501,"=581",'Unos rashoda P4'!$S$3:$S$501,"=34")</f>
        <v>0</v>
      </c>
      <c r="S17" s="74">
        <f>SUMIFS('Unos rashoda i izdataka'!$J$3:$J$504,'Unos rashoda i izdataka'!$C$3:$C$504,"=61",'Unos rashoda i izdataka'!$P$3:$P$504,"=34")+SUMIFS('Unos rashoda P4'!$H$3:$H$501,'Unos rashoda P4'!$A$3:$A$501,"=61",'Unos rashoda P4'!$S$3:$S$501,"=34")</f>
        <v>0</v>
      </c>
      <c r="T17" s="74">
        <f>SUMIFS('Unos rashoda i izdataka'!$J$3:$J$504,'Unos rashoda i izdataka'!$C$3:$C$504,"=63",'Unos rashoda i izdataka'!$P$3:$P$504,"=34")+SUMIFS('Unos rashoda P4'!$H$3:$H$501,'Unos rashoda P4'!$A$3:$A$501,"=63",'Unos rashoda P4'!$S$3:$S$501,"=34")</f>
        <v>0</v>
      </c>
      <c r="U17" s="74">
        <f>SUMIFS('Unos rashoda i izdataka'!$J$3:$J$504,'Unos rashoda i izdataka'!$C$3:$C$504,"=71",'Unos rashoda i izdataka'!$P$3:$P$504,"=34")+SUMIFS('Unos rashoda P4'!$H$3:$H$501,'Unos rashoda P4'!$A$3:$A$501,"=71",'Unos rashoda P4'!$S$3:$S$501,"=34")</f>
        <v>0</v>
      </c>
      <c r="V17" s="74">
        <f>SUMIFS('Unos rashoda i izdataka'!$J$3:$J$504,'Unos rashoda i izdataka'!$C$3:$C$504,"=81",'Unos rashoda i izdataka'!$P$3:$P$504,"=34")+SUMIFS('Unos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izdataka'!$J$3:$J$504,'Unos rashoda i izdataka'!$C$3:$C$504,"=11",'Unos rashoda i izdataka'!$P$3:$P$504,"=35")+SUMIFS('Unos rashoda P4'!$H$3:$H$501,'Unos rashoda P4'!$A$3:$A$501,"=11",'Unos rashoda P4'!$S$3:$S$501,"=35")</f>
        <v>0</v>
      </c>
      <c r="E21" s="74">
        <f>SUMIFS('Unos rashoda i izdataka'!$J$3:$J$504,'Unos rashoda i izdataka'!$C$3:$C$504,"=12",'Unos rashoda i izdataka'!$P$3:$P$504,"=35")+SUMIFS('Unos rashoda P4'!$H$3:$H$501,'Unos rashoda P4'!$A$3:$A$501,"=12",'Unos rashoda P4'!$S$3:$S$501,"=35")</f>
        <v>0</v>
      </c>
      <c r="F21" s="74">
        <f>SUMIFS('Unos rashoda i izdataka'!$J$3:$J$504,'Unos rashoda i izdataka'!$C$3:$C$504,"=31",'Unos rashoda i izdataka'!$P$3:$P$504,"=35")+SUMIFS('Unos rashoda P4'!$H$3:$H$501,'Unos rashoda P4'!$A$3:$A$501,"=31",'Unos rashoda P4'!$S$3:$S$501,"=35")</f>
        <v>0</v>
      </c>
      <c r="G21" s="74">
        <f>SUMIFS('Unos rashoda i izdataka'!$J$3:$J$504,'Unos rashoda i izdataka'!$C$3:$C$504,"=41",'Unos rashoda i izdataka'!$P$3:$P$504,"=35")+SUMIFS('Unos rashoda P4'!$H$3:$H$501,'Unos rashoda P4'!$A$3:$A$501,"=41",'Unos rashoda P4'!$S$3:$S$501,"=35")</f>
        <v>0</v>
      </c>
      <c r="H21" s="74">
        <f>SUMIFS('Unos rashoda i izdataka'!$J$3:$J$504,'Unos rashoda i izdataka'!$C$3:$C$504,"=43",'Unos rashoda i izdataka'!$P$3:$P$504,"=35")+SUMIFS('Unos rashoda P4'!$H$3:$H$501,'Unos rashoda P4'!$A$3:$A$501,"=43",'Unos rashoda P4'!$S$3:$S$501,"=35")</f>
        <v>0</v>
      </c>
      <c r="I21" s="74">
        <f>SUMIFS('Unos rashoda i izdataka'!$J$3:$J$504,'Unos rashoda i izdataka'!$C$3:$C$504,"=51",'Unos rashoda i izdataka'!$P$3:$P$504,"=35")+SUMIFS('Unos rashoda P4'!$H$3:$H$501,'Unos rashoda P4'!$A$3:$A$501,"=51",'Unos rashoda P4'!$S$3:$S$501,"=35")</f>
        <v>0</v>
      </c>
      <c r="J21" s="74">
        <f>SUMIFS('Unos rashoda i izdataka'!$J$3:$J$504,'Unos rashoda i izdataka'!$C$3:$C$504,"=52",'Unos rashoda i izdataka'!$P$3:$P$504,"=35")+SUMIFS('Unos rashoda P4'!$H$3:$H$501,'Unos rashoda P4'!$A$3:$A$501,"=52",'Unos rashoda P4'!$S$3:$S$501,"=35")</f>
        <v>0</v>
      </c>
      <c r="K21" s="74">
        <f>SUMIFS('Unos rashoda i izdataka'!$J$3:$J$504,'Unos rashoda i izdataka'!$C$3:$C$504,"=552",'Unos rashoda i izdataka'!$P$3:$P$504,"=35")+SUMIFS('Unos rashoda P4'!$H$3:$H$501,'Unos rashoda P4'!$A$3:$A$501,"=552",'Unos rashoda P4'!$S$3:$S$501,"=35")</f>
        <v>0</v>
      </c>
      <c r="L21" s="74">
        <f>SUMIFS('Unos rashoda i izdataka'!$J$3:$J$504,'Unos rashoda i izdataka'!$C$3:$C$504,"=559",'Unos rashoda i izdataka'!$P$3:$P$504,"=35")+SUMIFS('Unos rashoda P4'!$H$3:$H$501,'Unos rashoda P4'!$A$3:$A$501,"=559",'Unos rashoda P4'!$S$3:$S$501,"=35")</f>
        <v>0</v>
      </c>
      <c r="M21" s="74">
        <f>SUMIFS('Unos rashoda i izdataka'!$J$3:$J$504,'Unos rashoda i izdataka'!$C$3:$C$504,"=561",'Unos rashoda i izdataka'!$P$3:$P$504,"=35")+SUMIFS('Unos rashoda P4'!$H$3:$H$501,'Unos rashoda P4'!$A$3:$A$501,"=561",'Unos rashoda P4'!$S$3:$S$501,"=35")</f>
        <v>0</v>
      </c>
      <c r="N21" s="74">
        <f>SUMIFS('Unos rashoda i izdataka'!$J$3:$J$504,'Unos rashoda i izdataka'!$C$3:$C$504,"=563",'Unos rashoda i izdataka'!$P$3:$P$504,"=35")+SUMIFS('Unos rashoda P4'!$H$3:$H$501,'Unos rashoda P4'!$A$3:$A$501,"=563",'Unos rashoda P4'!$S$3:$S$501,"=35")</f>
        <v>0</v>
      </c>
      <c r="O21" s="74">
        <f>SUMIFS('Unos rashoda i izdataka'!$J$3:$J$504,'Unos rashoda i izdataka'!$C$3:$C$504,"=573",'Unos rashoda i izdataka'!$P$3:$P$504,"=35")+SUMIFS('Unos rashoda P4'!$H$3:$H$501,'Unos rashoda P4'!$A$3:$A$501,"=573",'Unos rashoda P4'!$S$3:$S$501,"=35")</f>
        <v>0</v>
      </c>
      <c r="P21" s="74">
        <f>SUMIFS('Unos rashoda i izdataka'!$J$3:$J$504,'Unos rashoda i izdataka'!$C$3:$C$504,"=575",'Unos rashoda i izdataka'!$P$3:$P$504,"=35")+SUMIFS('Unos rashoda P4'!$H$3:$H$501,'Unos rashoda P4'!$A$3:$A$501,"=575",'Unos rashoda P4'!$S$3:$S$501,"=35")</f>
        <v>0</v>
      </c>
      <c r="Q21" s="74">
        <f>SUMIFS('Unos rashoda i izdataka'!$J$3:$J$504,'Unos rashoda i izdataka'!$Q$3:$Q$504,"=576",'Unos rashoda i izdataka'!$P$3:$P$504,"=35")+SUMIFS('Unos rashoda P4'!$H$3:$H$501,'Unos rashoda P4'!$A$3:$A$501,"=576",'Unos rashoda P4'!$S$3:$S$501,"=35")</f>
        <v>0</v>
      </c>
      <c r="R21" s="74">
        <f>SUMIFS('Unos rashoda i izdataka'!$J$3:$J$504,'Unos rashoda i izdataka'!$C$3:$C$504,"=581",'Unos rashoda i izdataka'!$P$3:$P$504,"=35")+SUMIFS('Unos rashoda P4'!$H$3:$H$501,'Unos rashoda P4'!$A$3:$A$501,"=581",'Unos rashoda P4'!$S$3:$S$501,"=35")</f>
        <v>0</v>
      </c>
      <c r="S21" s="74">
        <f>SUMIFS('Unos rashoda i izdataka'!$J$3:$J$504,'Unos rashoda i izdataka'!$C$3:$C$504,"=61",'Unos rashoda i izdataka'!$P$3:$P$504,"=35")+SUMIFS('Unos rashoda P4'!$H$3:$H$501,'Unos rashoda P4'!$A$3:$A$501,"=61",'Unos rashoda P4'!$S$3:$S$501,"=35")</f>
        <v>0</v>
      </c>
      <c r="T21" s="74">
        <f>SUMIFS('Unos rashoda i izdataka'!$J$3:$J$504,'Unos rashoda i izdataka'!$C$3:$C$504,"=63",'Unos rashoda i izdataka'!$P$3:$P$504,"=35")+SUMIFS('Unos rashoda P4'!$H$3:$H$501,'Unos rashoda P4'!$A$3:$A$501,"=63",'Unos rashoda P4'!$S$3:$S$501,"=35")</f>
        <v>0</v>
      </c>
      <c r="U21" s="74">
        <f>SUMIFS('Unos rashoda i izdataka'!$J$3:$J$504,'Unos rashoda i izdataka'!$C$3:$C$504,"=71",'Unos rashoda i izdataka'!$P$3:$P$504,"=35")+SUMIFS('Unos rashoda P4'!$H$3:$H$501,'Unos rashoda P4'!$A$3:$A$501,"=71",'Unos rashoda P4'!$S$3:$S$501,"=35")</f>
        <v>0</v>
      </c>
      <c r="V21" s="74">
        <f>SUMIFS('Unos rashoda i izdataka'!$J$3:$J$504,'Unos rashoda i izdataka'!$C$3:$C$504,"=81",'Unos rashoda i izdataka'!$P$3:$P$504,"=35")+SUMIFS('Unos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izdataka'!$J$3:$J$504,'Unos rashoda i izdataka'!$C$3:$C$504,"=11",'Unos rashoda i izdataka'!$P$3:$P$504,"=36")+SUMIFS('Unos rashoda P4'!$H$3:$H$501,'Unos rashoda P4'!$A$3:$A$501,"=11",'Unos rashoda P4'!$S$3:$S$501,"=36")</f>
        <v>0</v>
      </c>
      <c r="E25" s="74">
        <f>SUMIFS('Unos rashoda i izdataka'!$J$3:$J$504,'Unos rashoda i izdataka'!$C$3:$C$504,"=12",'Unos rashoda i izdataka'!$P$3:$P$504,"=36")+SUMIFS('Unos rashoda P4'!$H$3:$H$501,'Unos rashoda P4'!$A$3:$A$501,"=12",'Unos rashoda P4'!$S$3:$S$501,"=36")</f>
        <v>0</v>
      </c>
      <c r="F25" s="74">
        <f>SUMIFS('Unos rashoda i izdataka'!$J$3:$J$504,'Unos rashoda i izdataka'!$C$3:$C$504,"=31",'Unos rashoda i izdataka'!$P$3:$P$504,"=36")+SUMIFS('Unos rashoda P4'!$H$3:$H$501,'Unos rashoda P4'!$A$3:$A$501,"=31",'Unos rashoda P4'!$S$3:$S$501,"=36")</f>
        <v>0</v>
      </c>
      <c r="G25" s="74">
        <f>SUMIFS('Unos rashoda i izdataka'!$J$3:$J$504,'Unos rashoda i izdataka'!$C$3:$C$504,"=41",'Unos rashoda i izdataka'!$P$3:$P$504,"=36")+SUMIFS('Unos rashoda P4'!$H$3:$H$501,'Unos rashoda P4'!$A$3:$A$501,"=41",'Unos rashoda P4'!$S$3:$S$501,"=36")</f>
        <v>0</v>
      </c>
      <c r="H25" s="74">
        <f>SUMIFS('Unos rashoda i izdataka'!$J$3:$J$504,'Unos rashoda i izdataka'!$C$3:$C$504,"=43",'Unos rashoda i izdataka'!$P$3:$P$504,"=36")+SUMIFS('Unos rashoda P4'!$H$3:$H$501,'Unos rashoda P4'!$A$3:$A$501,"=43",'Unos rashoda P4'!$S$3:$S$501,"=36")</f>
        <v>0</v>
      </c>
      <c r="I25" s="74">
        <f>SUMIFS('Unos rashoda i izdataka'!$J$3:$J$504,'Unos rashoda i izdataka'!$C$3:$C$504,"=51",'Unos rashoda i izdataka'!$P$3:$P$504,"=36")+SUMIFS('Unos rashoda P4'!$H$3:$H$501,'Unos rashoda P4'!$A$3:$A$501,"=51",'Unos rashoda P4'!$S$3:$S$501,"=36")</f>
        <v>0</v>
      </c>
      <c r="J25" s="74">
        <f>SUMIFS('Unos rashoda i izdataka'!$J$3:$J$504,'Unos rashoda i izdataka'!$C$3:$C$504,"=52",'Unos rashoda i izdataka'!$P$3:$P$504,"=36")+SUMIFS('Unos rashoda P4'!$H$3:$H$501,'Unos rashoda P4'!$A$3:$A$501,"=52",'Unos rashoda P4'!$S$3:$S$501,"=36")</f>
        <v>0</v>
      </c>
      <c r="K25" s="74">
        <f>SUMIFS('Unos rashoda i izdataka'!$J$3:$J$504,'Unos rashoda i izdataka'!$C$3:$C$504,"=552",'Unos rashoda i izdataka'!$P$3:$P$504,"=36")+SUMIFS('Unos rashoda P4'!$H$3:$H$501,'Unos rashoda P4'!$A$3:$A$501,"=552",'Unos rashoda P4'!$S$3:$S$501,"=36")</f>
        <v>0</v>
      </c>
      <c r="L25" s="74">
        <f>SUMIFS('Unos rashoda i izdataka'!$J$3:$J$504,'Unos rashoda i izdataka'!$C$3:$C$504,"=559",'Unos rashoda i izdataka'!$P$3:$P$504,"=36")+SUMIFS('Unos rashoda P4'!$H$3:$H$501,'Unos rashoda P4'!$A$3:$A$501,"=559",'Unos rashoda P4'!$S$3:$S$501,"=36")</f>
        <v>0</v>
      </c>
      <c r="M25" s="74">
        <f>SUMIFS('Unos rashoda i izdataka'!$J$3:$J$504,'Unos rashoda i izdataka'!$C$3:$C$504,"=561",'Unos rashoda i izdataka'!$P$3:$P$504,"=36")+SUMIFS('Unos rashoda P4'!$H$3:$H$501,'Unos rashoda P4'!$A$3:$A$501,"=561",'Unos rashoda P4'!$S$3:$S$501,"=36")</f>
        <v>0</v>
      </c>
      <c r="N25" s="74">
        <f>SUMIFS('Unos rashoda i izdataka'!$J$3:$J$504,'Unos rashoda i izdataka'!$C$3:$C$504,"=563",'Unos rashoda i izdataka'!$P$3:$P$504,"=36")+SUMIFS('Unos rashoda P4'!$H$3:$H$501,'Unos rashoda P4'!$A$3:$A$501,"=563",'Unos rashoda P4'!$S$3:$S$501,"=36")</f>
        <v>0</v>
      </c>
      <c r="O25" s="74">
        <f>SUMIFS('Unos rashoda i izdataka'!$J$3:$J$504,'Unos rashoda i izdataka'!$C$3:$C$504,"=573",'Unos rashoda i izdataka'!$P$3:$P$504,"=36")+SUMIFS('Unos rashoda P4'!$H$3:$H$501,'Unos rashoda P4'!$A$3:$A$501,"=573",'Unos rashoda P4'!$S$3:$S$501,"=36")</f>
        <v>0</v>
      </c>
      <c r="P25" s="74">
        <f>SUMIFS('Unos rashoda i izdataka'!$J$3:$J$504,'Unos rashoda i izdataka'!$C$3:$C$504,"=575",'Unos rashoda i izdataka'!$P$3:$P$504,"=36")+SUMIFS('Unos rashoda P4'!$H$3:$H$501,'Unos rashoda P4'!$A$3:$A$501,"=575",'Unos rashoda P4'!$S$3:$S$501,"=36")</f>
        <v>0</v>
      </c>
      <c r="Q25" s="74">
        <f>SUMIFS('Unos rashoda i izdataka'!$J$3:$J$504,'Unos rashoda i izdataka'!$Q$3:$Q$504,"=576",'Unos rashoda i izdataka'!$P$3:$P$504,"=36")+SUMIFS('Unos rashoda P4'!$H$3:$H$501,'Unos rashoda P4'!$A$3:$A$501,"=576",'Unos rashoda P4'!$S$3:$S$501,"=36")</f>
        <v>0</v>
      </c>
      <c r="R25" s="74">
        <f>SUMIFS('Unos rashoda i izdataka'!$J$3:$J$504,'Unos rashoda i izdataka'!$C$3:$C$504,"=581",'Unos rashoda i izdataka'!$P$3:$P$504,"=36")+SUMIFS('Unos rashoda P4'!$H$3:$H$501,'Unos rashoda P4'!$A$3:$A$501,"=581",'Unos rashoda P4'!$S$3:$S$501,"=36")</f>
        <v>0</v>
      </c>
      <c r="S25" s="74">
        <f>SUMIFS('Unos rashoda i izdataka'!$J$3:$J$504,'Unos rashoda i izdataka'!$C$3:$C$504,"=61",'Unos rashoda i izdataka'!$P$3:$P$504,"=36")+SUMIFS('Unos rashoda P4'!$H$3:$H$501,'Unos rashoda P4'!$A$3:$A$501,"=61",'Unos rashoda P4'!$S$3:$S$501,"=36")</f>
        <v>0</v>
      </c>
      <c r="T25" s="74">
        <f>SUMIFS('Unos rashoda i izdataka'!$J$3:$J$504,'Unos rashoda i izdataka'!$C$3:$C$504,"=63",'Unos rashoda i izdataka'!$P$3:$P$504,"=36")+SUMIFS('Unos rashoda P4'!$H$3:$H$501,'Unos rashoda P4'!$A$3:$A$501,"=63",'Unos rashoda P4'!$S$3:$S$501,"=36")</f>
        <v>0</v>
      </c>
      <c r="U25" s="74">
        <f>SUMIFS('Unos rashoda i izdataka'!$J$3:$J$504,'Unos rashoda i izdataka'!$C$3:$C$504,"=71",'Unos rashoda i izdataka'!$P$3:$P$504,"=36")+SUMIFS('Unos rashoda P4'!$H$3:$H$501,'Unos rashoda P4'!$A$3:$A$501,"=71",'Unos rashoda P4'!$S$3:$S$501,"=36")</f>
        <v>0</v>
      </c>
      <c r="V25" s="74">
        <f>SUMIFS('Unos rashoda i izdataka'!$J$3:$J$504,'Unos rashoda i izdataka'!$C$3:$C$504,"=81",'Unos rashoda i izdataka'!$P$3:$P$504,"=36")+SUMIFS('Unos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izdataka'!$J$3:$J$504,'Unos rashoda i izdataka'!$C$3:$C$504,"=11",'Unos rashoda i izdataka'!$P$3:$P$504,"=37")+SUMIFS('Unos rashoda P4'!$H$3:$H$501,'Unos rashoda P4'!$A$3:$A$501,"=11",'Unos rashoda P4'!$S$3:$S$501,"=37")</f>
        <v>0</v>
      </c>
      <c r="E30" s="74">
        <f>SUMIFS('Unos rashoda i izdataka'!$J$3:$J$504,'Unos rashoda i izdataka'!$C$3:$C$504,"=12",'Unos rashoda i izdataka'!$P$3:$P$504,"=37")+SUMIFS('Unos rashoda P4'!$H$3:$H$501,'Unos rashoda P4'!$A$3:$A$501,"=12",'Unos rashoda P4'!$S$3:$S$501,"=37")</f>
        <v>0</v>
      </c>
      <c r="F30" s="74">
        <f>SUMIFS('Unos rashoda i izdataka'!$J$3:$J$504,'Unos rashoda i izdataka'!$C$3:$C$504,"=31",'Unos rashoda i izdataka'!$P$3:$P$504,"=37")+SUMIFS('Unos rashoda P4'!$H$3:$H$501,'Unos rashoda P4'!$A$3:$A$501,"=31",'Unos rashoda P4'!$S$3:$S$501,"=37")</f>
        <v>0</v>
      </c>
      <c r="G30" s="74">
        <f>SUMIFS('Unos rashoda i izdataka'!$J$3:$J$504,'Unos rashoda i izdataka'!$C$3:$C$504,"=41",'Unos rashoda i izdataka'!$P$3:$P$504,"=37")+SUMIFS('Unos rashoda P4'!$H$3:$H$501,'Unos rashoda P4'!$A$3:$A$501,"=41",'Unos rashoda P4'!$S$3:$S$501,"=37")</f>
        <v>0</v>
      </c>
      <c r="H30" s="74">
        <f>SUMIFS('Unos rashoda i izdataka'!$J$3:$J$504,'Unos rashoda i izdataka'!$C$3:$C$504,"=43",'Unos rashoda i izdataka'!$P$3:$P$504,"=37")+SUMIFS('Unos rashoda P4'!$H$3:$H$501,'Unos rashoda P4'!$A$3:$A$501,"=43",'Unos rashoda P4'!$S$3:$S$501,"=37")</f>
        <v>0</v>
      </c>
      <c r="I30" s="74">
        <f>SUMIFS('Unos rashoda i izdataka'!$J$3:$J$504,'Unos rashoda i izdataka'!$C$3:$C$504,"=51",'Unos rashoda i izdataka'!$P$3:$P$504,"=37")+SUMIFS('Unos rashoda P4'!$H$3:$H$501,'Unos rashoda P4'!$A$3:$A$501,"=51",'Unos rashoda P4'!$S$3:$S$501,"=37")</f>
        <v>0</v>
      </c>
      <c r="J30" s="74">
        <f>SUMIFS('Unos rashoda i izdataka'!$J$3:$J$504,'Unos rashoda i izdataka'!$C$3:$C$504,"=52",'Unos rashoda i izdataka'!$P$3:$P$504,"=37")+SUMIFS('Unos rashoda P4'!$H$3:$H$501,'Unos rashoda P4'!$A$3:$A$501,"=52",'Unos rashoda P4'!$S$3:$S$501,"=37")</f>
        <v>0</v>
      </c>
      <c r="K30" s="74">
        <f>SUMIFS('Unos rashoda i izdataka'!$J$3:$J$504,'Unos rashoda i izdataka'!$C$3:$C$504,"=552",'Unos rashoda i izdataka'!$P$3:$P$504,"=37")+SUMIFS('Unos rashoda P4'!$H$3:$H$501,'Unos rashoda P4'!$A$3:$A$501,"=552",'Unos rashoda P4'!$S$3:$S$501,"=37")</f>
        <v>0</v>
      </c>
      <c r="L30" s="74">
        <f>SUMIFS('Unos rashoda i izdataka'!$J$3:$J$504,'Unos rashoda i izdataka'!$C$3:$C$504,"=559",'Unos rashoda i izdataka'!$P$3:$P$504,"=37")+SUMIFS('Unos rashoda P4'!$H$3:$H$501,'Unos rashoda P4'!$A$3:$A$501,"=559",'Unos rashoda P4'!$S$3:$S$501,"=37")</f>
        <v>0</v>
      </c>
      <c r="M30" s="74">
        <f>SUMIFS('Unos rashoda i izdataka'!$J$3:$J$504,'Unos rashoda i izdataka'!$C$3:$C$504,"=561",'Unos rashoda i izdataka'!$P$3:$P$504,"=37")+SUMIFS('Unos rashoda P4'!$H$3:$H$501,'Unos rashoda P4'!$A$3:$A$501,"=561",'Unos rashoda P4'!$S$3:$S$501,"=37")</f>
        <v>0</v>
      </c>
      <c r="N30" s="74">
        <f>SUMIFS('Unos rashoda i izdataka'!$J$3:$J$504,'Unos rashoda i izdataka'!$C$3:$C$504,"=563",'Unos rashoda i izdataka'!$P$3:$P$504,"=37")+SUMIFS('Unos rashoda P4'!$H$3:$H$501,'Unos rashoda P4'!$A$3:$A$501,"=563",'Unos rashoda P4'!$S$3:$S$501,"=37")</f>
        <v>0</v>
      </c>
      <c r="O30" s="74">
        <f>SUMIFS('Unos rashoda i izdataka'!$J$3:$J$504,'Unos rashoda i izdataka'!$C$3:$C$504,"=573",'Unos rashoda i izdataka'!$P$3:$P$504,"=37")+SUMIFS('Unos rashoda P4'!$H$3:$H$501,'Unos rashoda P4'!$A$3:$A$501,"=573",'Unos rashoda P4'!$S$3:$S$501,"=37")</f>
        <v>0</v>
      </c>
      <c r="P30" s="74">
        <f>SUMIFS('Unos rashoda i izdataka'!$J$3:$J$504,'Unos rashoda i izdataka'!$C$3:$C$504,"=575",'Unos rashoda i izdataka'!$P$3:$P$504,"=37")+SUMIFS('Unos rashoda P4'!$H$3:$H$501,'Unos rashoda P4'!$A$3:$A$501,"=575",'Unos rashoda P4'!$S$3:$S$501,"=37")</f>
        <v>0</v>
      </c>
      <c r="Q30" s="74">
        <f>SUMIFS('Unos rashoda i izdataka'!$J$3:$J$504,'Unos rashoda i izdataka'!$Q$3:$Q$504,"=576",'Unos rashoda i izdataka'!$P$3:$P$504,"=37")+SUMIFS('Unos rashoda P4'!$H$3:$H$501,'Unos rashoda P4'!$A$3:$A$501,"=576",'Unos rashoda P4'!$S$3:$S$501,"=37")</f>
        <v>0</v>
      </c>
      <c r="R30" s="74">
        <f>SUMIFS('Unos rashoda i izdataka'!$J$3:$J$504,'Unos rashoda i izdataka'!$C$3:$C$504,"=581",'Unos rashoda i izdataka'!$P$3:$P$504,"=37")+SUMIFS('Unos rashoda P4'!$H$3:$H$501,'Unos rashoda P4'!$A$3:$A$501,"=581",'Unos rashoda P4'!$S$3:$S$501,"=37")</f>
        <v>0</v>
      </c>
      <c r="S30" s="74">
        <f>SUMIFS('Unos rashoda i izdataka'!$J$3:$J$504,'Unos rashoda i izdataka'!$C$3:$C$504,"=61",'Unos rashoda i izdataka'!$P$3:$P$504,"=37")+SUMIFS('Unos rashoda P4'!$H$3:$H$501,'Unos rashoda P4'!$A$3:$A$501,"=61",'Unos rashoda P4'!$S$3:$S$501,"=37")</f>
        <v>0</v>
      </c>
      <c r="T30" s="74">
        <f>SUMIFS('Unos rashoda i izdataka'!$J$3:$J$504,'Unos rashoda i izdataka'!$C$3:$C$504,"=63",'Unos rashoda i izdataka'!$P$3:$P$504,"=37")+SUMIFS('Unos rashoda P4'!$H$3:$H$501,'Unos rashoda P4'!$A$3:$A$501,"=63",'Unos rashoda P4'!$S$3:$S$501,"=37")</f>
        <v>0</v>
      </c>
      <c r="U30" s="74">
        <f>SUMIFS('Unos rashoda i izdataka'!$J$3:$J$504,'Unos rashoda i izdataka'!$C$3:$C$504,"=71",'Unos rashoda i izdataka'!$P$3:$P$504,"=37")+SUMIFS('Unos rashoda P4'!$H$3:$H$501,'Unos rashoda P4'!$A$3:$A$501,"=71",'Unos rashoda P4'!$S$3:$S$501,"=37")</f>
        <v>0</v>
      </c>
      <c r="V30" s="74">
        <f>SUMIFS('Unos rashoda i izdataka'!$J$3:$J$504,'Unos rashoda i izdataka'!$C$3:$C$504,"=81",'Unos rashoda i izdataka'!$P$3:$P$504,"=37")+SUMIFS('Unos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izdataka'!$J$3:$J$504,'Unos rashoda i izdataka'!$C$3:$C$504,"=11",'Unos rashoda i izdataka'!$P$3:$P$504,"=38")+SUMIFS('Unos rashoda P4'!$H$3:$H$501,'Unos rashoda P4'!$A$3:$A$501,"=11",'Unos rashoda P4'!$S$3:$S$501,"=38")</f>
        <v>0</v>
      </c>
      <c r="E31" s="74">
        <f>SUMIFS('Unos rashoda i izdataka'!$J$3:$J$504,'Unos rashoda i izdataka'!$C$3:$C$504,"=12",'Unos rashoda i izdataka'!$P$3:$P$504,"=38")+SUMIFS('Unos rashoda P4'!$H$3:$H$501,'Unos rashoda P4'!$A$3:$A$501,"=12",'Unos rashoda P4'!$S$3:$S$501,"=38")</f>
        <v>0</v>
      </c>
      <c r="F31" s="74">
        <f>SUMIFS('Unos rashoda i izdataka'!$J$3:$J$504,'Unos rashoda i izdataka'!$C$3:$C$504,"=31",'Unos rashoda i izdataka'!$P$3:$P$504,"=38")+SUMIFS('Unos rashoda P4'!$H$3:$H$501,'Unos rashoda P4'!$A$3:$A$501,"=31",'Unos rashoda P4'!$S$3:$S$501,"=38")</f>
        <v>0</v>
      </c>
      <c r="G31" s="74">
        <f>SUMIFS('Unos rashoda i izdataka'!$J$3:$J$504,'Unos rashoda i izdataka'!$C$3:$C$504,"=41",'Unos rashoda i izdataka'!$P$3:$P$504,"=38")+SUMIFS('Unos rashoda P4'!$H$3:$H$501,'Unos rashoda P4'!$A$3:$A$501,"=41",'Unos rashoda P4'!$S$3:$S$501,"=38")</f>
        <v>0</v>
      </c>
      <c r="H31" s="74">
        <f>SUMIFS('Unos rashoda i izdataka'!$J$3:$J$504,'Unos rashoda i izdataka'!$C$3:$C$504,"=43",'Unos rashoda i izdataka'!$P$3:$P$504,"=38")+SUMIFS('Unos rashoda P4'!$H$3:$H$501,'Unos rashoda P4'!$A$3:$A$501,"=43",'Unos rashoda P4'!$S$3:$S$501,"=38")</f>
        <v>0</v>
      </c>
      <c r="I31" s="74">
        <f>SUMIFS('Unos rashoda i izdataka'!$J$3:$J$504,'Unos rashoda i izdataka'!$C$3:$C$504,"=51",'Unos rashoda i izdataka'!$P$3:$P$504,"=38")+SUMIFS('Unos rashoda P4'!$H$3:$H$501,'Unos rashoda P4'!$A$3:$A$501,"=51",'Unos rashoda P4'!$S$3:$S$501,"=38")</f>
        <v>0</v>
      </c>
      <c r="J31" s="74">
        <f>SUMIFS('Unos rashoda i izdataka'!$J$3:$J$504,'Unos rashoda i izdataka'!$C$3:$C$504,"=52",'Unos rashoda i izdataka'!$P$3:$P$504,"=38")+SUMIFS('Unos rashoda P4'!$H$3:$H$501,'Unos rashoda P4'!$A$3:$A$501,"=52",'Unos rashoda P4'!$S$3:$S$501,"=38")</f>
        <v>0</v>
      </c>
      <c r="K31" s="74">
        <f>SUMIFS('Unos rashoda i izdataka'!$J$3:$J$504,'Unos rashoda i izdataka'!$C$3:$C$504,"=552",'Unos rashoda i izdataka'!$P$3:$P$504,"=38")+SUMIFS('Unos rashoda P4'!$H$3:$H$501,'Unos rashoda P4'!$A$3:$A$501,"=552",'Unos rashoda P4'!$S$3:$S$501,"=38")</f>
        <v>0</v>
      </c>
      <c r="L31" s="74">
        <f>SUMIFS('Unos rashoda i izdataka'!$J$3:$J$504,'Unos rashoda i izdataka'!$C$3:$C$504,"=559",'Unos rashoda i izdataka'!$P$3:$P$504,"=38")+SUMIFS('Unos rashoda P4'!$H$3:$H$501,'Unos rashoda P4'!$A$3:$A$501,"=559",'Unos rashoda P4'!$S$3:$S$501,"=38")</f>
        <v>0</v>
      </c>
      <c r="M31" s="74">
        <f>SUMIFS('Unos rashoda i izdataka'!$J$3:$J$504,'Unos rashoda i izdataka'!$C$3:$C$504,"=561",'Unos rashoda i izdataka'!$P$3:$P$504,"=38")+SUMIFS('Unos rashoda P4'!$H$3:$H$501,'Unos rashoda P4'!$A$3:$A$501,"=561",'Unos rashoda P4'!$S$3:$S$501,"=38")</f>
        <v>0</v>
      </c>
      <c r="N31" s="74">
        <f>SUMIFS('Unos rashoda i izdataka'!$J$3:$J$504,'Unos rashoda i izdataka'!$C$3:$C$504,"=563",'Unos rashoda i izdataka'!$P$3:$P$504,"=38")+SUMIFS('Unos rashoda P4'!$H$3:$H$501,'Unos rashoda P4'!$A$3:$A$501,"=563",'Unos rashoda P4'!$S$3:$S$501,"=38")</f>
        <v>0</v>
      </c>
      <c r="O31" s="74">
        <f>SUMIFS('Unos rashoda i izdataka'!$J$3:$J$504,'Unos rashoda i izdataka'!$C$3:$C$504,"=573",'Unos rashoda i izdataka'!$P$3:$P$504,"=38")+SUMIFS('Unos rashoda P4'!$H$3:$H$501,'Unos rashoda P4'!$A$3:$A$501,"=573",'Unos rashoda P4'!$S$3:$S$501,"=38")</f>
        <v>0</v>
      </c>
      <c r="P31" s="74">
        <f>SUMIFS('Unos rashoda i izdataka'!$J$3:$J$504,'Unos rashoda i izdataka'!$C$3:$C$504,"=575",'Unos rashoda i izdataka'!$P$3:$P$504,"=38")+SUMIFS('Unos rashoda P4'!$H$3:$H$501,'Unos rashoda P4'!$A$3:$A$501,"=575",'Unos rashoda P4'!$S$3:$S$501,"=38")</f>
        <v>0</v>
      </c>
      <c r="Q31" s="74">
        <f>SUMIFS('Unos rashoda i izdataka'!$J$3:$J$504,'Unos rashoda i izdataka'!$Q$3:$Q$504,"=576",'Unos rashoda i izdataka'!$P$3:$P$504,"=38")+SUMIFS('Unos rashoda P4'!$H$3:$H$501,'Unos rashoda P4'!$A$3:$A$501,"=576",'Unos rashoda P4'!$S$3:$S$501,"=38")</f>
        <v>0</v>
      </c>
      <c r="R31" s="74">
        <f>SUMIFS('Unos rashoda i izdataka'!$J$3:$J$504,'Unos rashoda i izdataka'!$C$3:$C$504,"=581",'Unos rashoda i izdataka'!$P$3:$P$504,"=38")+SUMIFS('Unos rashoda P4'!$H$3:$H$501,'Unos rashoda P4'!$A$3:$A$501,"=581",'Unos rashoda P4'!$S$3:$S$501,"=38")</f>
        <v>0</v>
      </c>
      <c r="S31" s="74">
        <f>SUMIFS('Unos rashoda i izdataka'!$J$3:$J$504,'Unos rashoda i izdataka'!$C$3:$C$504,"=61",'Unos rashoda i izdataka'!$P$3:$P$504,"=38")+SUMIFS('Unos rashoda P4'!$H$3:$H$501,'Unos rashoda P4'!$A$3:$A$501,"=61",'Unos rashoda P4'!$S$3:$S$501,"=38")</f>
        <v>0</v>
      </c>
      <c r="T31" s="74">
        <f>SUMIFS('Unos rashoda i izdataka'!$J$3:$J$504,'Unos rashoda i izdataka'!$C$3:$C$504,"=63",'Unos rashoda i izdataka'!$P$3:$P$504,"=38")+SUMIFS('Unos rashoda P4'!$H$3:$H$501,'Unos rashoda P4'!$A$3:$A$501,"=63",'Unos rashoda P4'!$S$3:$S$501,"=38")</f>
        <v>0</v>
      </c>
      <c r="U31" s="74">
        <f>SUMIFS('Unos rashoda i izdataka'!$J$3:$J$504,'Unos rashoda i izdataka'!$C$3:$C$504,"=71",'Unos rashoda i izdataka'!$P$3:$P$504,"=38")+SUMIFS('Unos rashoda P4'!$H$3:$H$501,'Unos rashoda P4'!$A$3:$A$501,"=71",'Unos rashoda P4'!$S$3:$S$501,"=38")</f>
        <v>0</v>
      </c>
      <c r="V31" s="74">
        <f>SUMIFS('Unos rashoda i izdataka'!$J$3:$J$504,'Unos rashoda i izdataka'!$C$3:$C$504,"=81",'Unos rashoda i izdataka'!$P$3:$P$504,"=38")+SUMIFS('Unos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58864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9364</v>
      </c>
      <c r="G32" s="69">
        <f t="shared" si="4"/>
        <v>0</v>
      </c>
      <c r="H32" s="69">
        <f t="shared" si="4"/>
        <v>49500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izdataka'!$J$3:$J$504,'Unos rashoda i izdataka'!$C$3:$C$504,"=11",'Unos rashoda i izdataka'!$P$3:$P$504,"=41")+SUMIFS('Unos rashoda P4'!$H$3:$H$501,'Unos rashoda P4'!$A$3:$A$501,"=11",'Unos rashoda P4'!$S$3:$S$501,"=41")</f>
        <v>0</v>
      </c>
      <c r="E33" s="74">
        <f>SUMIFS('Unos rashoda i izdataka'!$J$3:$J$504,'Unos rashoda i izdataka'!$C$3:$C$504,"=12",'Unos rashoda i izdataka'!$P$3:$P$504,"=41")+SUMIFS('Unos rashoda P4'!$H$3:$H$501,'Unos rashoda P4'!$A$3:$A$501,"=12",'Unos rashoda P4'!$S$3:$S$501,"=41")</f>
        <v>0</v>
      </c>
      <c r="F33" s="74">
        <f>SUMIFS('Unos rashoda i izdataka'!$J$3:$J$504,'Unos rashoda i izdataka'!$C$3:$C$504,"=31",'Unos rashoda i izdataka'!$P$3:$P$504,"=41")+SUMIFS('Unos rashoda P4'!$H$3:$H$501,'Unos rashoda P4'!$A$3:$A$501,"=31",'Unos rashoda P4'!$S$3:$S$501,"=41")</f>
        <v>0</v>
      </c>
      <c r="G33" s="74">
        <f>SUMIFS('Unos rashoda i izdataka'!$J$3:$J$504,'Unos rashoda i izdataka'!$C$3:$C$504,"=41",'Unos rashoda i izdataka'!$P$3:$P$504,"=41")+SUMIFS('Unos rashoda P4'!$H$3:$H$501,'Unos rashoda P4'!$A$3:$A$501,"=41",'Unos rashoda P4'!$S$3:$S$501,"=41")</f>
        <v>0</v>
      </c>
      <c r="H33" s="74">
        <f>SUMIFS('Unos rashoda i izdataka'!$J$3:$J$504,'Unos rashoda i izdataka'!$C$3:$C$504,"=43",'Unos rashoda i izdataka'!$P$3:$P$504,"=41")+SUMIFS('Unos rashoda P4'!$H$3:$H$501,'Unos rashoda P4'!$A$3:$A$501,"=43",'Unos rashoda P4'!$S$3:$S$501,"=41")</f>
        <v>0</v>
      </c>
      <c r="I33" s="74">
        <f>SUMIFS('Unos rashoda i izdataka'!$J$3:$J$504,'Unos rashoda i izdataka'!$C$3:$C$504,"=51",'Unos rashoda i izdataka'!$P$3:$P$504,"=41")+SUMIFS('Unos rashoda P4'!$H$3:$H$501,'Unos rashoda P4'!$A$3:$A$501,"=51",'Unos rashoda P4'!$S$3:$S$501,"=41")</f>
        <v>0</v>
      </c>
      <c r="J33" s="74">
        <f>SUMIFS('Unos rashoda i izdataka'!$J$3:$J$504,'Unos rashoda i izdataka'!$C$3:$C$504,"=52",'Unos rashoda i izdataka'!$P$3:$P$504,"=41")+SUMIFS('Unos rashoda P4'!$H$3:$H$501,'Unos rashoda P4'!$A$3:$A$501,"=52",'Unos rashoda P4'!$S$3:$S$501,"=41")</f>
        <v>0</v>
      </c>
      <c r="K33" s="74">
        <f>SUMIFS('Unos rashoda i izdataka'!$J$3:$J$504,'Unos rashoda i izdataka'!$C$3:$C$504,"=552",'Unos rashoda i izdataka'!$P$3:$P$504,"=41")+SUMIFS('Unos rashoda P4'!$H$3:$H$501,'Unos rashoda P4'!$A$3:$A$501,"=552",'Unos rashoda P4'!$S$3:$S$501,"=41")</f>
        <v>0</v>
      </c>
      <c r="L33" s="74">
        <f>SUMIFS('Unos rashoda i izdataka'!$J$3:$J$504,'Unos rashoda i izdataka'!$C$3:$C$504,"=559",'Unos rashoda i izdataka'!$P$3:$P$504,"=41")+SUMIFS('Unos rashoda P4'!$H$3:$H$501,'Unos rashoda P4'!$A$3:$A$501,"=559",'Unos rashoda P4'!$S$3:$S$501,"=41")</f>
        <v>0</v>
      </c>
      <c r="M33" s="74">
        <f>SUMIFS('Unos rashoda i izdataka'!$J$3:$J$504,'Unos rashoda i izdataka'!$C$3:$C$504,"=561",'Unos rashoda i izdataka'!$P$3:$P$504,"=41")+SUMIFS('Unos rashoda P4'!$H$3:$H$501,'Unos rashoda P4'!$A$3:$A$501,"=561",'Unos rashoda P4'!$S$3:$S$501,"=41")</f>
        <v>0</v>
      </c>
      <c r="N33" s="74">
        <f>SUMIFS('Unos rashoda i izdataka'!$J$3:$J$504,'Unos rashoda i izdataka'!$C$3:$C$504,"=563",'Unos rashoda i izdataka'!$P$3:$P$504,"=41")+SUMIFS('Unos rashoda P4'!$H$3:$H$501,'Unos rashoda P4'!$A$3:$A$501,"=563",'Unos rashoda P4'!$S$3:$S$501,"=41")</f>
        <v>0</v>
      </c>
      <c r="O33" s="74">
        <f>SUMIFS('Unos rashoda i izdataka'!$J$3:$J$504,'Unos rashoda i izdataka'!$C$3:$C$504,"=573",'Unos rashoda i izdataka'!$P$3:$P$504,"=41")+SUMIFS('Unos rashoda P4'!$H$3:$H$501,'Unos rashoda P4'!$A$3:$A$501,"=573",'Unos rashoda P4'!$S$3:$S$501,"=41")</f>
        <v>0</v>
      </c>
      <c r="P33" s="74">
        <f>SUMIFS('Unos rashoda i izdataka'!$J$3:$J$504,'Unos rashoda i izdataka'!$C$3:$C$504,"=575",'Unos rashoda i izdataka'!$P$3:$P$504,"=41")+SUMIFS('Unos rashoda P4'!$H$3:$H$501,'Unos rashoda P4'!$A$3:$A$501,"=575",'Unos rashoda P4'!$S$3:$S$501,"=41")</f>
        <v>0</v>
      </c>
      <c r="Q33" s="74">
        <f>SUMIFS('Unos rashoda i izdataka'!$J$3:$J$504,'Unos rashoda i izdataka'!$Q$3:$Q$504,"=576",'Unos rashoda i izdataka'!$P$3:$P$504,"=41")+SUMIFS('Unos rashoda P4'!$H$3:$H$501,'Unos rashoda P4'!$A$3:$A$501,"=576",'Unos rashoda P4'!$S$3:$S$501,"=41")</f>
        <v>0</v>
      </c>
      <c r="R33" s="74">
        <f>SUMIFS('Unos rashoda i izdataka'!$J$3:$J$504,'Unos rashoda i izdataka'!$C$3:$C$504,"=581",'Unos rashoda i izdataka'!$P$3:$P$504,"=41")+SUMIFS('Unos rashoda P4'!$H$3:$H$501,'Unos rashoda P4'!$A$3:$A$501,"=581",'Unos rashoda P4'!$S$3:$S$501,"=41")</f>
        <v>0</v>
      </c>
      <c r="S33" s="74">
        <f>SUMIFS('Unos rashoda i izdataka'!$J$3:$J$504,'Unos rashoda i izdataka'!$C$3:$C$504,"=61",'Unos rashoda i izdataka'!$P$3:$P$504,"=41")+SUMIFS('Unos rashoda P4'!$H$3:$H$501,'Unos rashoda P4'!$A$3:$A$501,"=61",'Unos rashoda P4'!$S$3:$S$501,"=41")</f>
        <v>0</v>
      </c>
      <c r="T33" s="74">
        <f>SUMIFS('Unos rashoda i izdataka'!$J$3:$J$504,'Unos rashoda i izdataka'!$C$3:$C$504,"=63",'Unos rashoda i izdataka'!$P$3:$P$504,"=41")+SUMIFS('Unos rashoda P4'!$H$3:$H$501,'Unos rashoda P4'!$A$3:$A$501,"=63",'Unos rashoda P4'!$S$3:$S$501,"=41")</f>
        <v>0</v>
      </c>
      <c r="U33" s="74">
        <f>SUMIFS('Unos rashoda i izdataka'!$J$3:$J$504,'Unos rashoda i izdataka'!$C$3:$C$504,"=71",'Unos rashoda i izdataka'!$P$3:$P$504,"=41")+SUMIFS('Unos rashoda P4'!$H$3:$H$501,'Unos rashoda P4'!$A$3:$A$501,"=71",'Unos rashoda P4'!$S$3:$S$501,"=41")</f>
        <v>0</v>
      </c>
      <c r="V33" s="74">
        <f>SUMIFS('Unos rashoda i izdataka'!$J$3:$J$504,'Unos rashoda i izdataka'!$C$3:$C$504,"=81",'Unos rashoda i izdataka'!$P$3:$P$504,"=41")+SUMIFS('Unos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28864</v>
      </c>
      <c r="D34" s="74">
        <f>SUMIFS('Unos rashoda i izdataka'!$J$3:$J$504,'Unos rashoda i izdataka'!$C$3:$C$504,"=11",'Unos rashoda i izdataka'!$P$3:$P$504,"=42")+SUMIFS('Unos rashoda P4'!$H$3:$H$501,'Unos rashoda P4'!$A$3:$A$501,"=11",'Unos rashoda P4'!$S$3:$S$501,"=42")</f>
        <v>0</v>
      </c>
      <c r="E34" s="74">
        <f>SUMIFS('Unos rashoda i izdataka'!$J$3:$J$504,'Unos rashoda i izdataka'!$C$3:$C$504,"=12",'Unos rashoda i izdataka'!$P$3:$P$504,"=42")+SUMIFS('Unos rashoda P4'!$H$3:$H$501,'Unos rashoda P4'!$A$3:$A$501,"=12",'Unos rashoda P4'!$S$3:$S$501,"=42")</f>
        <v>0</v>
      </c>
      <c r="F34" s="74">
        <f>SUMIFS('Unos rashoda i izdataka'!$J$3:$J$504,'Unos rashoda i izdataka'!$C$3:$C$504,"=31",'Unos rashoda i izdataka'!$P$3:$P$504,"=42")+SUMIFS('Unos rashoda P4'!$H$3:$H$501,'Unos rashoda P4'!$A$3:$A$501,"=31",'Unos rashoda P4'!$S$3:$S$501,"=42")</f>
        <v>9364</v>
      </c>
      <c r="G34" s="74">
        <f>SUMIFS('Unos rashoda i izdataka'!$J$3:$J$504,'Unos rashoda i izdataka'!$C$3:$C$504,"=41",'Unos rashoda i izdataka'!$P$3:$P$504,"=42")+SUMIFS('Unos rashoda P4'!$H$3:$H$501,'Unos rashoda P4'!$A$3:$A$501,"=41",'Unos rashoda P4'!$S$3:$S$501,"=42")</f>
        <v>0</v>
      </c>
      <c r="H34" s="74">
        <f>SUMIFS('Unos rashoda i izdataka'!$J$3:$J$504,'Unos rashoda i izdataka'!$C$3:$C$504,"=43",'Unos rashoda i izdataka'!$P$3:$P$504,"=42")+SUMIFS('Unos rashoda P4'!$H$3:$H$501,'Unos rashoda P4'!$A$3:$A$501,"=43",'Unos rashoda P4'!$S$3:$S$501,"=42")</f>
        <v>19500</v>
      </c>
      <c r="I34" s="74">
        <f>SUMIFS('Unos rashoda i izdataka'!$J$3:$J$504,'Unos rashoda i izdataka'!$C$3:$C$504,"=51",'Unos rashoda i izdataka'!$P$3:$P$504,"=42")+SUMIFS('Unos rashoda P4'!$H$3:$H$501,'Unos rashoda P4'!$A$3:$A$501,"=51",'Unos rashoda P4'!$S$3:$S$501,"=42")</f>
        <v>0</v>
      </c>
      <c r="J34" s="74">
        <f>SUMIFS('Unos rashoda i izdataka'!$J$3:$J$504,'Unos rashoda i izdataka'!$C$3:$C$504,"=52",'Unos rashoda i izdataka'!$P$3:$P$504,"=42")+SUMIFS('Unos rashoda P4'!$H$3:$H$501,'Unos rashoda P4'!$A$3:$A$501,"=52",'Unos rashoda P4'!$S$3:$S$501,"=42")</f>
        <v>0</v>
      </c>
      <c r="K34" s="74">
        <f>SUMIFS('Unos rashoda i izdataka'!$J$3:$J$504,'Unos rashoda i izdataka'!$C$3:$C$504,"=552",'Unos rashoda i izdataka'!$P$3:$P$504,"=42")+SUMIFS('Unos rashoda P4'!$H$3:$H$501,'Unos rashoda P4'!$A$3:$A$501,"=552",'Unos rashoda P4'!$S$3:$S$501,"=42")</f>
        <v>0</v>
      </c>
      <c r="L34" s="74">
        <f>SUMIFS('Unos rashoda i izdataka'!$J$3:$J$504,'Unos rashoda i izdataka'!$C$3:$C$504,"=559",'Unos rashoda i izdataka'!$P$3:$P$504,"=42")+SUMIFS('Unos rashoda P4'!$H$3:$H$501,'Unos rashoda P4'!$A$3:$A$501,"=559",'Unos rashoda P4'!$S$3:$S$501,"=42")</f>
        <v>0</v>
      </c>
      <c r="M34" s="74">
        <f>SUMIFS('Unos rashoda i izdataka'!$J$3:$J$504,'Unos rashoda i izdataka'!$C$3:$C$504,"=561",'Unos rashoda i izdataka'!$P$3:$P$504,"=42")+SUMIFS('Unos rashoda P4'!$H$3:$H$501,'Unos rashoda P4'!$A$3:$A$501,"=561",'Unos rashoda P4'!$S$3:$S$501,"=42")</f>
        <v>0</v>
      </c>
      <c r="N34" s="74">
        <f>SUMIFS('Unos rashoda i izdataka'!$J$3:$J$504,'Unos rashoda i izdataka'!$C$3:$C$504,"=563",'Unos rashoda i izdataka'!$P$3:$P$504,"=42")+SUMIFS('Unos rashoda P4'!$H$3:$H$501,'Unos rashoda P4'!$A$3:$A$501,"=563",'Unos rashoda P4'!$S$3:$S$501,"=42")</f>
        <v>0</v>
      </c>
      <c r="O34" s="74">
        <f>SUMIFS('Unos rashoda i izdataka'!$J$3:$J$504,'Unos rashoda i izdataka'!$C$3:$C$504,"=573",'Unos rashoda i izdataka'!$P$3:$P$504,"=42")+SUMIFS('Unos rashoda P4'!$H$3:$H$501,'Unos rashoda P4'!$A$3:$A$501,"=573",'Unos rashoda P4'!$S$3:$S$501,"=42")</f>
        <v>0</v>
      </c>
      <c r="P34" s="74">
        <f>SUMIFS('Unos rashoda i izdataka'!$J$3:$J$504,'Unos rashoda i izdataka'!$C$3:$C$504,"=575",'Unos rashoda i izdataka'!$P$3:$P$504,"=42")+SUMIFS('Unos rashoda P4'!$H$3:$H$501,'Unos rashoda P4'!$A$3:$A$501,"=575",'Unos rashoda P4'!$S$3:$S$501,"=42")</f>
        <v>0</v>
      </c>
      <c r="Q34" s="74">
        <f>SUMIFS('Unos rashoda i izdataka'!$J$3:$J$504,'Unos rashoda i izdataka'!$Q$3:$Q$504,"=576",'Unos rashoda i izdataka'!$P$3:$P$504,"=42")+SUMIFS('Unos rashoda P4'!$H$3:$H$501,'Unos rashoda P4'!$A$3:$A$501,"=576",'Unos rashoda P4'!$S$3:$S$501,"=42")</f>
        <v>0</v>
      </c>
      <c r="R34" s="74">
        <f>SUMIFS('Unos rashoda i izdataka'!$J$3:$J$504,'Unos rashoda i izdataka'!$C$3:$C$504,"=581",'Unos rashoda i izdataka'!$P$3:$P$504,"=42")+SUMIFS('Unos rashoda P4'!$H$3:$H$501,'Unos rashoda P4'!$A$3:$A$501,"=581",'Unos rashoda P4'!$S$3:$S$501,"=42")</f>
        <v>0</v>
      </c>
      <c r="S34" s="74">
        <f>SUMIFS('Unos rashoda i izdataka'!$J$3:$J$504,'Unos rashoda i izdataka'!$C$3:$C$504,"=61",'Unos rashoda i izdataka'!$P$3:$P$504,"=42")+SUMIFS('Unos rashoda P4'!$H$3:$H$501,'Unos rashoda P4'!$A$3:$A$501,"=61",'Unos rashoda P4'!$S$3:$S$501,"=42")</f>
        <v>0</v>
      </c>
      <c r="T34" s="74">
        <f>SUMIFS('Unos rashoda i izdataka'!$J$3:$J$504,'Unos rashoda i izdataka'!$C$3:$C$504,"=63",'Unos rashoda i izdataka'!$P$3:$P$504,"=42")+SUMIFS('Unos rashoda P4'!$H$3:$H$501,'Unos rashoda P4'!$A$3:$A$501,"=63",'Unos rashoda P4'!$S$3:$S$501,"=42")</f>
        <v>0</v>
      </c>
      <c r="U34" s="74">
        <f>SUMIFS('Unos rashoda i izdataka'!$J$3:$J$504,'Unos rashoda i izdataka'!$C$3:$C$504,"=71",'Unos rashoda i izdataka'!$P$3:$P$504,"=42")+SUMIFS('Unos rashoda P4'!$H$3:$H$501,'Unos rashoda P4'!$A$3:$A$501,"=71",'Unos rashoda P4'!$S$3:$S$501,"=42")</f>
        <v>0</v>
      </c>
      <c r="V34" s="74">
        <f>SUMIFS('Unos rashoda i izdataka'!$J$3:$J$504,'Unos rashoda i izdataka'!$C$3:$C$504,"=81",'Unos rashoda i izdataka'!$P$3:$P$504,"=42")+SUMIFS('Unos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izdataka'!$J$3:$J$504,'Unos rashoda i izdataka'!$C$3:$C$504,"=11",'Unos rashoda i izdataka'!$P$3:$P$504,"=43")+SUMIFS('Unos rashoda P4'!$H$3:$H$501,'Unos rashoda P4'!$A$3:$A$501,"=11",'Unos rashoda P4'!$S$3:$S$501,"=43")</f>
        <v>0</v>
      </c>
      <c r="E35" s="74">
        <f>SUMIFS('Unos rashoda i izdataka'!$J$3:$J$504,'Unos rashoda i izdataka'!$C$3:$C$504,"=12",'Unos rashoda i izdataka'!$P$3:$P$504,"=43")+SUMIFS('Unos rashoda P4'!$H$3:$H$501,'Unos rashoda P4'!$A$3:$A$501,"=12",'Unos rashoda P4'!$S$3:$S$501,"=43")</f>
        <v>0</v>
      </c>
      <c r="F35" s="74">
        <f>SUMIFS('Unos rashoda i izdataka'!$J$3:$J$504,'Unos rashoda i izdataka'!$C$3:$C$504,"=31",'Unos rashoda i izdataka'!$P$3:$P$504,"=43")+SUMIFS('Unos rashoda P4'!$H$3:$H$501,'Unos rashoda P4'!$A$3:$A$501,"=31",'Unos rashoda P4'!$S$3:$S$501,"=43")</f>
        <v>0</v>
      </c>
      <c r="G35" s="74">
        <f>SUMIFS('Unos rashoda i izdataka'!$J$3:$J$504,'Unos rashoda i izdataka'!$C$3:$C$504,"=41",'Unos rashoda i izdataka'!$P$3:$P$504,"=43")+SUMIFS('Unos rashoda P4'!$H$3:$H$501,'Unos rashoda P4'!$A$3:$A$501,"=41",'Unos rashoda P4'!$S$3:$S$501,"=43")</f>
        <v>0</v>
      </c>
      <c r="H35" s="74">
        <f>SUMIFS('Unos rashoda i izdataka'!$J$3:$J$504,'Unos rashoda i izdataka'!$C$3:$C$504,"=43",'Unos rashoda i izdataka'!$P$3:$P$504,"=43")+SUMIFS('Unos rashoda P4'!$H$3:$H$501,'Unos rashoda P4'!$A$3:$A$501,"=43",'Unos rashoda P4'!$S$3:$S$501,"=43")</f>
        <v>0</v>
      </c>
      <c r="I35" s="74">
        <f>SUMIFS('Unos rashoda i izdataka'!$J$3:$J$504,'Unos rashoda i izdataka'!$C$3:$C$504,"=51",'Unos rashoda i izdataka'!$P$3:$P$504,"=43")+SUMIFS('Unos rashoda P4'!$H$3:$H$501,'Unos rashoda P4'!$A$3:$A$501,"=51",'Unos rashoda P4'!$S$3:$S$501,"=43")</f>
        <v>0</v>
      </c>
      <c r="J35" s="74">
        <f>SUMIFS('Unos rashoda i izdataka'!$J$3:$J$504,'Unos rashoda i izdataka'!$C$3:$C$504,"=52",'Unos rashoda i izdataka'!$P$3:$P$504,"=43")+SUMIFS('Unos rashoda P4'!$H$3:$H$501,'Unos rashoda P4'!$A$3:$A$501,"=52",'Unos rashoda P4'!$S$3:$S$501,"=43")</f>
        <v>0</v>
      </c>
      <c r="K35" s="74">
        <f>SUMIFS('Unos rashoda i izdataka'!$J$3:$J$504,'Unos rashoda i izdataka'!$C$3:$C$504,"=552",'Unos rashoda i izdataka'!$P$3:$P$504,"=43")+SUMIFS('Unos rashoda P4'!$H$3:$H$501,'Unos rashoda P4'!$A$3:$A$501,"=552",'Unos rashoda P4'!$S$3:$S$501,"=43")</f>
        <v>0</v>
      </c>
      <c r="L35" s="74">
        <f>SUMIFS('Unos rashoda i izdataka'!$J$3:$J$504,'Unos rashoda i izdataka'!$C$3:$C$504,"=559",'Unos rashoda i izdataka'!$P$3:$P$504,"=43")+SUMIFS('Unos rashoda P4'!$H$3:$H$501,'Unos rashoda P4'!$A$3:$A$501,"=559",'Unos rashoda P4'!$S$3:$S$501,"=43")</f>
        <v>0</v>
      </c>
      <c r="M35" s="74">
        <f>SUMIFS('Unos rashoda i izdataka'!$J$3:$J$504,'Unos rashoda i izdataka'!$C$3:$C$504,"=561",'Unos rashoda i izdataka'!$P$3:$P$504,"=43")+SUMIFS('Unos rashoda P4'!$H$3:$H$501,'Unos rashoda P4'!$A$3:$A$501,"=561",'Unos rashoda P4'!$S$3:$S$501,"=43")</f>
        <v>0</v>
      </c>
      <c r="N35" s="74">
        <f>SUMIFS('Unos rashoda i izdataka'!$J$3:$J$504,'Unos rashoda i izdataka'!$C$3:$C$504,"=563",'Unos rashoda i izdataka'!$P$3:$P$504,"=43")+SUMIFS('Unos rashoda P4'!$H$3:$H$501,'Unos rashoda P4'!$A$3:$A$501,"=563",'Unos rashoda P4'!$S$3:$S$501,"=43")</f>
        <v>0</v>
      </c>
      <c r="O35" s="74">
        <f>SUMIFS('Unos rashoda i izdataka'!$J$3:$J$504,'Unos rashoda i izdataka'!$C$3:$C$504,"=573",'Unos rashoda i izdataka'!$P$3:$P$504,"=43")+SUMIFS('Unos rashoda P4'!$H$3:$H$501,'Unos rashoda P4'!$A$3:$A$501,"=573",'Unos rashoda P4'!$S$3:$S$501,"=43")</f>
        <v>0</v>
      </c>
      <c r="P35" s="74">
        <f>SUMIFS('Unos rashoda i izdataka'!$J$3:$J$504,'Unos rashoda i izdataka'!$C$3:$C$504,"=575",'Unos rashoda i izdataka'!$P$3:$P$504,"=43")+SUMIFS('Unos rashoda P4'!$H$3:$H$501,'Unos rashoda P4'!$A$3:$A$501,"=575",'Unos rashoda P4'!$S$3:$S$501,"=43")</f>
        <v>0</v>
      </c>
      <c r="Q35" s="74">
        <f>SUMIFS('Unos rashoda i izdataka'!$J$3:$J$504,'Unos rashoda i izdataka'!$Q$3:$Q$504,"=576",'Unos rashoda i izdataka'!$P$3:$P$504,"=43")+SUMIFS('Unos rashoda P4'!$H$3:$H$501,'Unos rashoda P4'!$A$3:$A$501,"=576",'Unos rashoda P4'!$S$3:$S$501,"=43")</f>
        <v>0</v>
      </c>
      <c r="R35" s="74">
        <f>SUMIFS('Unos rashoda i izdataka'!$J$3:$J$504,'Unos rashoda i izdataka'!$C$3:$C$504,"=581",'Unos rashoda i izdataka'!$P$3:$P$504,"=43")+SUMIFS('Unos rashoda P4'!$H$3:$H$501,'Unos rashoda P4'!$A$3:$A$501,"=581",'Unos rashoda P4'!$S$3:$S$501,"=43")</f>
        <v>0</v>
      </c>
      <c r="S35" s="74">
        <f>SUMIFS('Unos rashoda i izdataka'!$J$3:$J$504,'Unos rashoda i izdataka'!$C$3:$C$504,"=61",'Unos rashoda i izdataka'!$P$3:$P$504,"=43")+SUMIFS('Unos rashoda P4'!$H$3:$H$501,'Unos rashoda P4'!$A$3:$A$501,"=61",'Unos rashoda P4'!$S$3:$S$501,"=43")</f>
        <v>0</v>
      </c>
      <c r="T35" s="74">
        <f>SUMIFS('Unos rashoda i izdataka'!$J$3:$J$504,'Unos rashoda i izdataka'!$C$3:$C$504,"=63",'Unos rashoda i izdataka'!$P$3:$P$504,"=43")+SUMIFS('Unos rashoda P4'!$H$3:$H$501,'Unos rashoda P4'!$A$3:$A$501,"=63",'Unos rashoda P4'!$S$3:$S$501,"=43")</f>
        <v>0</v>
      </c>
      <c r="U35" s="74">
        <f>SUMIFS('Unos rashoda i izdataka'!$J$3:$J$504,'Unos rashoda i izdataka'!$C$3:$C$504,"=71",'Unos rashoda i izdataka'!$P$3:$P$504,"=43")+SUMIFS('Unos rashoda P4'!$H$3:$H$501,'Unos rashoda P4'!$A$3:$A$501,"=71",'Unos rashoda P4'!$S$3:$S$501,"=43")</f>
        <v>0</v>
      </c>
      <c r="V35" s="74">
        <f>SUMIFS('Unos rashoda i izdataka'!$J$3:$J$504,'Unos rashoda i izdataka'!$C$3:$C$504,"=81",'Unos rashoda i izdataka'!$P$3:$P$504,"=43")+SUMIFS('Unos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izdataka'!$J$3:$J$504,'Unos rashoda i izdataka'!$C$3:$C$504,"=11",'Unos rashoda i izdataka'!$P$3:$P$504,"=44")+SUMIFS('Unos rashoda P4'!$H$3:$H$501,'Unos rashoda P4'!$A$3:$A$501,"=11",'Unos rashoda P4'!$S$3:$S$501,"=44")</f>
        <v>0</v>
      </c>
      <c r="E36" s="74">
        <f>SUMIFS('Unos rashoda i izdataka'!$J$3:$J$504,'Unos rashoda i izdataka'!$C$3:$C$504,"=12",'Unos rashoda i izdataka'!$P$3:$P$504,"=44")+SUMIFS('Unos rashoda P4'!$H$3:$H$501,'Unos rashoda P4'!$A$3:$A$501,"=12",'Unos rashoda P4'!$S$3:$S$501,"=44")</f>
        <v>0</v>
      </c>
      <c r="F36" s="74">
        <f>SUMIFS('Unos rashoda i izdataka'!$J$3:$J$504,'Unos rashoda i izdataka'!$C$3:$C$504,"=31",'Unos rashoda i izdataka'!$P$3:$P$504,"=44")+SUMIFS('Unos rashoda P4'!$H$3:$H$501,'Unos rashoda P4'!$A$3:$A$501,"=31",'Unos rashoda P4'!$S$3:$S$501,"=44")</f>
        <v>0</v>
      </c>
      <c r="G36" s="74">
        <f>SUMIFS('Unos rashoda i izdataka'!$J$3:$J$504,'Unos rashoda i izdataka'!$C$3:$C$504,"=41",'Unos rashoda i izdataka'!$P$3:$P$504,"=44")+SUMIFS('Unos rashoda P4'!$H$3:$H$501,'Unos rashoda P4'!$A$3:$A$501,"=41",'Unos rashoda P4'!$S$3:$S$501,"=44")</f>
        <v>0</v>
      </c>
      <c r="H36" s="74">
        <f>SUMIFS('Unos rashoda i izdataka'!$J$3:$J$504,'Unos rashoda i izdataka'!$C$3:$C$504,"=43",'Unos rashoda i izdataka'!$P$3:$P$504,"=44")+SUMIFS('Unos rashoda P4'!$H$3:$H$501,'Unos rashoda P4'!$A$3:$A$501,"=43",'Unos rashoda P4'!$S$3:$S$501,"=44")</f>
        <v>0</v>
      </c>
      <c r="I36" s="74">
        <f>SUMIFS('Unos rashoda i izdataka'!$J$3:$J$504,'Unos rashoda i izdataka'!$C$3:$C$504,"=51",'Unos rashoda i izdataka'!$P$3:$P$504,"=44")+SUMIFS('Unos rashoda P4'!$H$3:$H$501,'Unos rashoda P4'!$A$3:$A$501,"=51",'Unos rashoda P4'!$S$3:$S$501,"=44")</f>
        <v>0</v>
      </c>
      <c r="J36" s="74">
        <f>SUMIFS('Unos rashoda i izdataka'!$J$3:$J$504,'Unos rashoda i izdataka'!$C$3:$C$504,"=52",'Unos rashoda i izdataka'!$P$3:$P$504,"=44")+SUMIFS('Unos rashoda P4'!$H$3:$H$501,'Unos rashoda P4'!$A$3:$A$501,"=52",'Unos rashoda P4'!$S$3:$S$501,"=44")</f>
        <v>0</v>
      </c>
      <c r="K36" s="74">
        <f>SUMIFS('Unos rashoda i izdataka'!$J$3:$J$504,'Unos rashoda i izdataka'!$C$3:$C$504,"=552",'Unos rashoda i izdataka'!$P$3:$P$504,"=44")+SUMIFS('Unos rashoda P4'!$H$3:$H$501,'Unos rashoda P4'!$A$3:$A$501,"=552",'Unos rashoda P4'!$S$3:$S$501,"=44")</f>
        <v>0</v>
      </c>
      <c r="L36" s="74">
        <f>SUMIFS('Unos rashoda i izdataka'!$J$3:$J$504,'Unos rashoda i izdataka'!$C$3:$C$504,"=559",'Unos rashoda i izdataka'!$P$3:$P$504,"=44")+SUMIFS('Unos rashoda P4'!$H$3:$H$501,'Unos rashoda P4'!$A$3:$A$501,"=559",'Unos rashoda P4'!$S$3:$S$501,"=44")</f>
        <v>0</v>
      </c>
      <c r="M36" s="74">
        <f>SUMIFS('Unos rashoda i izdataka'!$J$3:$J$504,'Unos rashoda i izdataka'!$C$3:$C$504,"=561",'Unos rashoda i izdataka'!$P$3:$P$504,"=44")+SUMIFS('Unos rashoda P4'!$H$3:$H$501,'Unos rashoda P4'!$A$3:$A$501,"=561",'Unos rashoda P4'!$S$3:$S$501,"=44")</f>
        <v>0</v>
      </c>
      <c r="N36" s="74">
        <f>SUMIFS('Unos rashoda i izdataka'!$J$3:$J$504,'Unos rashoda i izdataka'!$C$3:$C$504,"=563",'Unos rashoda i izdataka'!$P$3:$P$504,"=44")+SUMIFS('Unos rashoda P4'!$H$3:$H$501,'Unos rashoda P4'!$A$3:$A$501,"=563",'Unos rashoda P4'!$S$3:$S$501,"=44")</f>
        <v>0</v>
      </c>
      <c r="O36" s="74">
        <f>SUMIFS('Unos rashoda i izdataka'!$J$3:$J$504,'Unos rashoda i izdataka'!$C$3:$C$504,"=573",'Unos rashoda i izdataka'!$P$3:$P$504,"=44")+SUMIFS('Unos rashoda P4'!$H$3:$H$501,'Unos rashoda P4'!$A$3:$A$501,"=573",'Unos rashoda P4'!$S$3:$S$501,"=44")</f>
        <v>0</v>
      </c>
      <c r="P36" s="74">
        <f>SUMIFS('Unos rashoda i izdataka'!$J$3:$J$504,'Unos rashoda i izdataka'!$C$3:$C$504,"=575",'Unos rashoda i izdataka'!$P$3:$P$504,"=44")+SUMIFS('Unos rashoda P4'!$H$3:$H$501,'Unos rashoda P4'!$A$3:$A$501,"=575",'Unos rashoda P4'!$S$3:$S$501,"=44")</f>
        <v>0</v>
      </c>
      <c r="Q36" s="74">
        <f>SUMIFS('Unos rashoda i izdataka'!$J$3:$J$504,'Unos rashoda i izdataka'!$Q$3:$Q$504,"=576",'Unos rashoda i izdataka'!$P$3:$P$504,"=44")+SUMIFS('Unos rashoda P4'!$H$3:$H$501,'Unos rashoda P4'!$A$3:$A$501,"=576",'Unos rashoda P4'!$S$3:$S$501,"=44")</f>
        <v>0</v>
      </c>
      <c r="R36" s="74">
        <f>SUMIFS('Unos rashoda i izdataka'!$J$3:$J$504,'Unos rashoda i izdataka'!$C$3:$C$504,"=581",'Unos rashoda i izdataka'!$P$3:$P$504,"=44")+SUMIFS('Unos rashoda P4'!$H$3:$H$501,'Unos rashoda P4'!$A$3:$A$501,"=581",'Unos rashoda P4'!$S$3:$S$501,"=44")</f>
        <v>0</v>
      </c>
      <c r="S36" s="74">
        <f>SUMIFS('Unos rashoda i izdataka'!$J$3:$J$504,'Unos rashoda i izdataka'!$C$3:$C$504,"=61",'Unos rashoda i izdataka'!$P$3:$P$504,"=44")+SUMIFS('Unos rashoda P4'!$H$3:$H$501,'Unos rashoda P4'!$A$3:$A$501,"=61",'Unos rashoda P4'!$S$3:$S$501,"=44")</f>
        <v>0</v>
      </c>
      <c r="T36" s="74">
        <f>SUMIFS('Unos rashoda i izdataka'!$J$3:$J$504,'Unos rashoda i izdataka'!$C$3:$C$504,"=63",'Unos rashoda i izdataka'!$P$3:$P$504,"=44")+SUMIFS('Unos rashoda P4'!$H$3:$H$501,'Unos rashoda P4'!$A$3:$A$501,"=63",'Unos rashoda P4'!$S$3:$S$501,"=44")</f>
        <v>0</v>
      </c>
      <c r="U36" s="74">
        <f>SUMIFS('Unos rashoda i izdataka'!$J$3:$J$504,'Unos rashoda i izdataka'!$C$3:$C$504,"=71",'Unos rashoda i izdataka'!$P$3:$P$504,"=44")+SUMIFS('Unos rashoda P4'!$H$3:$H$501,'Unos rashoda P4'!$A$3:$A$501,"=71",'Unos rashoda P4'!$S$3:$S$501,"=44")</f>
        <v>0</v>
      </c>
      <c r="V36" s="74">
        <f>SUMIFS('Unos rashoda i izdataka'!$J$3:$J$504,'Unos rashoda i izdataka'!$C$3:$C$504,"=81",'Unos rashoda i izdataka'!$P$3:$P$504,"=44")+SUMIFS('Unos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30000</v>
      </c>
      <c r="D37" s="74">
        <f>SUMIFS('Unos rashoda i izdataka'!$J$3:$J$504,'Unos rashoda i izdataka'!$C$3:$C$504,"=11",'Unos rashoda i izdataka'!$P$3:$P$504,"=45")+SUMIFS('Unos rashoda P4'!$H$3:$H$501,'Unos rashoda P4'!$A$3:$A$501,"=11",'Unos rashoda P4'!$S$3:$S$501,"=45")</f>
        <v>0</v>
      </c>
      <c r="E37" s="74">
        <f>SUMIFS('Unos rashoda i izdataka'!$J$3:$J$504,'Unos rashoda i izdataka'!$C$3:$C$504,"=12",'Unos rashoda i izdataka'!$P$3:$P$504,"=45")+SUMIFS('Unos rashoda P4'!$H$3:$H$501,'Unos rashoda P4'!$A$3:$A$501,"=12",'Unos rashoda P4'!$S$3:$S$501,"=45")</f>
        <v>0</v>
      </c>
      <c r="F37" s="74">
        <f>SUMIFS('Unos rashoda i izdataka'!$J$3:$J$504,'Unos rashoda i izdataka'!$C$3:$C$504,"=31",'Unos rashoda i izdataka'!$P$3:$P$504,"=45")+SUMIFS('Unos rashoda P4'!$H$3:$H$501,'Unos rashoda P4'!$A$3:$A$501,"=31",'Unos rashoda P4'!$S$3:$S$501,"=45")</f>
        <v>0</v>
      </c>
      <c r="G37" s="74">
        <f>SUMIFS('Unos rashoda i izdataka'!$J$3:$J$504,'Unos rashoda i izdataka'!$C$3:$C$504,"=41",'Unos rashoda i izdataka'!$P$3:$P$504,"=45")+SUMIFS('Unos rashoda P4'!$H$3:$H$501,'Unos rashoda P4'!$A$3:$A$501,"=41",'Unos rashoda P4'!$S$3:$S$501,"=45")</f>
        <v>0</v>
      </c>
      <c r="H37" s="74">
        <f>SUMIFS('Unos rashoda i izdataka'!$J$3:$J$504,'Unos rashoda i izdataka'!$C$3:$C$504,"=43",'Unos rashoda i izdataka'!$P$3:$P$504,"=45")+SUMIFS('Unos rashoda P4'!$H$3:$H$501,'Unos rashoda P4'!$A$3:$A$501,"=43",'Unos rashoda P4'!$S$3:$S$501,"=45")</f>
        <v>30000</v>
      </c>
      <c r="I37" s="74">
        <f>SUMIFS('Unos rashoda i izdataka'!$J$3:$J$504,'Unos rashoda i izdataka'!$C$3:$C$504,"=51",'Unos rashoda i izdataka'!$P$3:$P$504,"=45")+SUMIFS('Unos rashoda P4'!$H$3:$H$501,'Unos rashoda P4'!$A$3:$A$501,"=51",'Unos rashoda P4'!$S$3:$S$501,"=45")</f>
        <v>0</v>
      </c>
      <c r="J37" s="74">
        <f>SUMIFS('Unos rashoda i izdataka'!$J$3:$J$504,'Unos rashoda i izdataka'!$C$3:$C$504,"=52",'Unos rashoda i izdataka'!$P$3:$P$504,"=45")+SUMIFS('Unos rashoda P4'!$H$3:$H$501,'Unos rashoda P4'!$A$3:$A$501,"=52",'Unos rashoda P4'!$S$3:$S$501,"=45")</f>
        <v>0</v>
      </c>
      <c r="K37" s="74">
        <f>SUMIFS('Unos rashoda i izdataka'!$J$3:$J$504,'Unos rashoda i izdataka'!$C$3:$C$504,"=552",'Unos rashoda i izdataka'!$P$3:$P$504,"=45")+SUMIFS('Unos rashoda P4'!$H$3:$H$501,'Unos rashoda P4'!$A$3:$A$501,"=552",'Unos rashoda P4'!$S$3:$S$501,"=45")</f>
        <v>0</v>
      </c>
      <c r="L37" s="74">
        <f>SUMIFS('Unos rashoda i izdataka'!$J$3:$J$504,'Unos rashoda i izdataka'!$C$3:$C$504,"=559",'Unos rashoda i izdataka'!$P$3:$P$504,"=45")+SUMIFS('Unos rashoda P4'!$H$3:$H$501,'Unos rashoda P4'!$A$3:$A$501,"=559",'Unos rashoda P4'!$S$3:$S$501,"=45")</f>
        <v>0</v>
      </c>
      <c r="M37" s="74">
        <f>SUMIFS('Unos rashoda i izdataka'!$J$3:$J$504,'Unos rashoda i izdataka'!$C$3:$C$504,"=561",'Unos rashoda i izdataka'!$P$3:$P$504,"=45")+SUMIFS('Unos rashoda P4'!$H$3:$H$501,'Unos rashoda P4'!$A$3:$A$501,"=561",'Unos rashoda P4'!$S$3:$S$501,"=45")</f>
        <v>0</v>
      </c>
      <c r="N37" s="74">
        <f>SUMIFS('Unos rashoda i izdataka'!$J$3:$J$504,'Unos rashoda i izdataka'!$C$3:$C$504,"=563",'Unos rashoda i izdataka'!$P$3:$P$504,"=45")+SUMIFS('Unos rashoda P4'!$H$3:$H$501,'Unos rashoda P4'!$A$3:$A$501,"=563",'Unos rashoda P4'!$S$3:$S$501,"=45")</f>
        <v>0</v>
      </c>
      <c r="O37" s="74">
        <f>SUMIFS('Unos rashoda i izdataka'!$J$3:$J$504,'Unos rashoda i izdataka'!$C$3:$C$504,"=573",'Unos rashoda i izdataka'!$P$3:$P$504,"=45")+SUMIFS('Unos rashoda P4'!$H$3:$H$501,'Unos rashoda P4'!$A$3:$A$501,"=573",'Unos rashoda P4'!$S$3:$S$501,"=45")</f>
        <v>0</v>
      </c>
      <c r="P37" s="74">
        <f>SUMIFS('Unos rashoda i izdataka'!$J$3:$J$504,'Unos rashoda i izdataka'!$C$3:$C$504,"=575",'Unos rashoda i izdataka'!$P$3:$P$504,"=45")+SUMIFS('Unos rashoda P4'!$H$3:$H$501,'Unos rashoda P4'!$A$3:$A$501,"=575",'Unos rashoda P4'!$S$3:$S$501,"=45")</f>
        <v>0</v>
      </c>
      <c r="Q37" s="74">
        <f>SUMIFS('Unos rashoda i izdataka'!$J$3:$J$504,'Unos rashoda i izdataka'!$Q$3:$Q$504,"=576",'Unos rashoda i izdataka'!$P$3:$P$504,"=45")+SUMIFS('Unos rashoda P4'!$H$3:$H$501,'Unos rashoda P4'!$A$3:$A$501,"=576",'Unos rashoda P4'!$S$3:$S$501,"=45")</f>
        <v>0</v>
      </c>
      <c r="R37" s="74">
        <f>SUMIFS('Unos rashoda i izdataka'!$J$3:$J$504,'Unos rashoda i izdataka'!$C$3:$C$504,"=581",'Unos rashoda i izdataka'!$P$3:$P$504,"=45")+SUMIFS('Unos rashoda P4'!$H$3:$H$501,'Unos rashoda P4'!$A$3:$A$501,"=581",'Unos rashoda P4'!$S$3:$S$501,"=45")</f>
        <v>0</v>
      </c>
      <c r="S37" s="74">
        <f>SUMIFS('Unos rashoda i izdataka'!$J$3:$J$504,'Unos rashoda i izdataka'!$C$3:$C$504,"=61",'Unos rashoda i izdataka'!$P$3:$P$504,"=45")+SUMIFS('Unos rashoda P4'!$H$3:$H$501,'Unos rashoda P4'!$A$3:$A$501,"=61",'Unos rashoda P4'!$S$3:$S$501,"=45")</f>
        <v>0</v>
      </c>
      <c r="T37" s="74">
        <f>SUMIFS('Unos rashoda i izdataka'!$J$3:$J$504,'Unos rashoda i izdataka'!$C$3:$C$504,"=63",'Unos rashoda i izdataka'!$P$3:$P$504,"=45")+SUMIFS('Unos rashoda P4'!$H$3:$H$501,'Unos rashoda P4'!$A$3:$A$501,"=63",'Unos rashoda P4'!$S$3:$S$501,"=45")</f>
        <v>0</v>
      </c>
      <c r="U37" s="74">
        <f>SUMIFS('Unos rashoda i izdataka'!$J$3:$J$504,'Unos rashoda i izdataka'!$C$3:$C$504,"=71",'Unos rashoda i izdataka'!$P$3:$P$504,"=45")+SUMIFS('Unos rashoda P4'!$H$3:$H$501,'Unos rashoda P4'!$A$3:$A$501,"=71",'Unos rashoda P4'!$S$3:$S$501,"=45")</f>
        <v>0</v>
      </c>
      <c r="V37" s="74">
        <f>SUMIFS('Unos rashoda i izdataka'!$J$3:$J$504,'Unos rashoda i izdataka'!$C$3:$C$504,"=81",'Unos rashoda i izdataka'!$P$3:$P$504,"=45")+SUMIFS('Unos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00000000000006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5264</v>
      </c>
      <c r="C40" s="60">
        <f t="shared" ref="C40:C54" si="5">SUM(D40:V40)</f>
        <v>737043</v>
      </c>
      <c r="D40" s="61">
        <f t="shared" ref="D40:V40" si="6">+D41+D49</f>
        <v>664668</v>
      </c>
      <c r="E40" s="61">
        <f t="shared" si="6"/>
        <v>0</v>
      </c>
      <c r="F40" s="61">
        <f t="shared" si="6"/>
        <v>0</v>
      </c>
      <c r="G40" s="61">
        <f t="shared" si="6"/>
        <v>0</v>
      </c>
      <c r="H40" s="61">
        <f t="shared" si="6"/>
        <v>-32997</v>
      </c>
      <c r="I40" s="61">
        <f t="shared" si="6"/>
        <v>17111</v>
      </c>
      <c r="J40" s="61">
        <f t="shared" si="6"/>
        <v>89261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-1000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693715</v>
      </c>
      <c r="D41" s="68">
        <f t="shared" ref="D41:V41" si="7">+D42+D43+D44+D45+D46+D47+D48</f>
        <v>664668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-73362</v>
      </c>
      <c r="I41" s="68">
        <f t="shared" si="7"/>
        <v>14148</v>
      </c>
      <c r="J41" s="68">
        <f t="shared" si="7"/>
        <v>89261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-1000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669308</v>
      </c>
      <c r="D42" s="74">
        <f>SUMIFS('Unos rashoda i izdataka'!$K$3:$K$504,'Unos rashoda i izdataka'!$C$3:$C$504,"=11",'Unos rashoda i izdataka'!$P$3:$P$504,"=31")+SUMIFS('Unos rashoda P4'!$I$3:$I$501,'Unos rashoda P4'!$A$3:$A$501,"=11",'Unos rashoda P4'!$S$3:$S$501,"=31")</f>
        <v>648308</v>
      </c>
      <c r="E42" s="74">
        <f>SUMIFS('Unos rashoda i izdataka'!$K$3:$K$504,'Unos rashoda i izdataka'!$C$3:$C$504,"=12",'Unos rashoda i izdataka'!$P$3:$P$504,"=31")+SUMIFS('Unos rashoda P4'!$I$3:$I$501,'Unos rashoda P4'!$A$3:$A$501,"=12",'Unos rashoda P4'!$S$3:$S$501,"=31")</f>
        <v>0</v>
      </c>
      <c r="F42" s="74">
        <f>SUMIFS('Unos rashoda i izdataka'!$K$3:$K$504,'Unos rashoda i izdataka'!$C$3:$C$504,"=31",'Unos rashoda i izdataka'!$P$3:$P$504,"=31")+SUMIFS('Unos rashoda P4'!$I$3:$I$501,'Unos rashoda P4'!$A$3:$A$501,"=31",'Unos rashoda P4'!$S$3:$S$501,"=31")</f>
        <v>0</v>
      </c>
      <c r="G42" s="74">
        <f>SUMIFS('Unos rashoda i izdataka'!$K$3:$K$504,'Unos rashoda i izdataka'!$C$3:$C$504,"=41",'Unos rashoda i izdataka'!$P$3:$P$504,"=31")+SUMIFS('Unos rashoda P4'!$I$3:$I$501,'Unos rashoda P4'!$A$3:$A$501,"=41",'Unos rashoda P4'!$S$3:$S$501,"=31")</f>
        <v>0</v>
      </c>
      <c r="H42" s="74">
        <f>SUMIFS('Unos rashoda i izdataka'!$K$3:$K$504,'Unos rashoda i izdataka'!$C$3:$C$504,"=43",'Unos rashoda i izdataka'!$P$3:$P$504,"=31")+SUMIFS('Unos rashoda P4'!$I$3:$I$501,'Unos rashoda P4'!$A$3:$A$501,"=43",'Unos rashoda P4'!$S$3:$S$501,"=31")</f>
        <v>21000</v>
      </c>
      <c r="I42" s="74">
        <f>SUMIFS('Unos rashoda i izdataka'!$K$3:$K$504,'Unos rashoda i izdataka'!$C$3:$C$504,"=51",'Unos rashoda i izdataka'!$P$3:$P$504,"=31")+SUMIFS('Unos rashoda P4'!$I$3:$I$501,'Unos rashoda P4'!$A$3:$A$501,"=51",'Unos rashoda P4'!$S$3:$S$501,"=31")</f>
        <v>0</v>
      </c>
      <c r="J42" s="74">
        <f>SUMIFS('Unos rashoda i izdataka'!$K$3:$K$504,'Unos rashoda i izdataka'!$C$3:$C$504,"=52",'Unos rashoda i izdataka'!$P$3:$P$504,"=31")+SUMIFS('Unos rashoda P4'!$I$3:$I$501,'Unos rashoda P4'!$A$3:$A$501,"=52",'Unos rashoda P4'!$S$3:$S$501,"=31")</f>
        <v>0</v>
      </c>
      <c r="K42" s="74">
        <f>SUMIFS('Unos rashoda i izdataka'!$K$3:$K$504,'Unos rashoda i izdataka'!$C$3:$C$504,"=552",'Unos rashoda i izdataka'!$P$3:$P$504,"=31")+SUMIFS('Unos rashoda P4'!$I$3:$I$501,'Unos rashoda P4'!$A$3:$A$501,"=552",'Unos rashoda P4'!$S$3:$S$501,"=31")</f>
        <v>0</v>
      </c>
      <c r="L42" s="74">
        <f>SUMIFS('Unos rashoda i izdataka'!$K$3:$K$504,'Unos rashoda i izdataka'!$C$3:$C$504,"=559",'Unos rashoda i izdataka'!$P$3:$P$504,"=31")+SUMIFS('Unos rashoda P4'!$I$3:$I$501,'Unos rashoda P4'!$A$3:$A$501,"=559",'Unos rashoda P4'!$S$3:$S$501,"=31")</f>
        <v>0</v>
      </c>
      <c r="M42" s="74">
        <f>SUMIFS('Unos rashoda i izdataka'!$K$3:$K$504,'Unos rashoda i izdataka'!$C$3:$C$504,"=561",'Unos rashoda i izdataka'!$P$3:$P$504,"=31")+SUMIFS('Unos rashoda P4'!$I$3:$I$501,'Unos rashoda P4'!$A$3:$A$501,"=561",'Unos rashoda P4'!$S$3:$S$501,"=31")</f>
        <v>0</v>
      </c>
      <c r="N42" s="74">
        <f>SUMIFS('Unos rashoda i izdataka'!$K$3:$K$504,'Unos rashoda i izdataka'!$C$3:$C$504,"=563",'Unos rashoda i izdataka'!$P$3:$P$504,"=31")+SUMIFS('Unos rashoda P4'!$I$3:$I$501,'Unos rashoda P4'!$A$3:$A$501,"=563",'Unos rashoda P4'!$S$3:$S$501,"=31")</f>
        <v>0</v>
      </c>
      <c r="O42" s="74">
        <f>SUMIFS('Unos rashoda i izdataka'!$K$3:$K$504,'Unos rashoda i izdataka'!$C$3:$C$504,"=573",'Unos rashoda i izdataka'!$P$3:$P$504,"=31")+SUMIFS('Unos rashoda P4'!$I$3:$I$501,'Unos rashoda P4'!$A$3:$A$501,"=573",'Unos rashoda P4'!$S$3:$S$501,"=31")</f>
        <v>0</v>
      </c>
      <c r="P42" s="74">
        <f>SUMIFS('Unos rashoda i izdataka'!$K$3:$K$504,'Unos rashoda i izdataka'!$C$3:$C$504,"=575",'Unos rashoda i izdataka'!$P$3:$P$504,"=31")+SUMIFS('Unos rashoda P4'!$I$3:$I$501,'Unos rashoda P4'!$A$3:$A$501,"=575",'Unos rashoda P4'!$S$3:$S$501,"=31")</f>
        <v>0</v>
      </c>
      <c r="Q42" s="74">
        <f>SUMIFS('Unos rashoda i izdataka'!$K$3:$K$504,'Unos rashoda i izdataka'!$Q$3:$Q$504,"=576",'Unos rashoda i izdataka'!$P$3:$P$504,"=31")+SUMIFS('Unos rashoda P4'!$I$3:$I$501,'Unos rashoda P4'!$A$3:$A$501,"=576",'Unos rashoda P4'!$S$3:$S$501,"=31")</f>
        <v>0</v>
      </c>
      <c r="R42" s="74">
        <f>SUMIFS('Unos rashoda i izdataka'!$K$3:$K$504,'Unos rashoda i izdataka'!$C$3:$C$504,"=581",'Unos rashoda i izdataka'!$P$3:$P$504,"=31")+SUMIFS('Unos rashoda P4'!$I$3:$I$501,'Unos rashoda P4'!$A$3:$A$501,"=581",'Unos rashoda P4'!$S$3:$S$501,"=31")</f>
        <v>0</v>
      </c>
      <c r="S42" s="74">
        <f>SUMIFS('Unos rashoda i izdataka'!$K$3:$K$504,'Unos rashoda i izdataka'!$C$3:$C$504,"=61",'Unos rashoda i izdataka'!$P$3:$P$504,"=31")+SUMIFS('Unos rashoda P4'!$I$3:$I$501,'Unos rashoda P4'!$A$3:$A$501,"=61",'Unos rashoda P4'!$S$3:$S$501,"=31")</f>
        <v>0</v>
      </c>
      <c r="T42" s="74">
        <f>SUMIFS('Unos rashoda i izdataka'!$K$3:$K$504,'Unos rashoda i izdataka'!$C$3:$C$504,"=63",'Unos rashoda i izdataka'!$P$3:$P$504,"=31")+SUMIFS('Unos rashoda P4'!$I$3:$I$501,'Unos rashoda P4'!$A$3:$A$501,"=63",'Unos rashoda P4'!$S$3:$S$501,"=31")</f>
        <v>0</v>
      </c>
      <c r="U42" s="74">
        <f>SUMIFS('Unos rashoda i izdataka'!$K$3:$K$504,'Unos rashoda i izdataka'!$C$3:$C$504,"=71",'Unos rashoda i izdataka'!$P$3:$P$504,"=31")+SUMIFS('Unos rashoda P4'!$I$3:$I$501,'Unos rashoda P4'!$A$3:$A$501,"=71",'Unos rashoda P4'!$S$3:$S$501,"=31")</f>
        <v>0</v>
      </c>
      <c r="V42" s="74">
        <f>SUMIFS('Unos rashoda i izdataka'!$K$3:$K$504,'Unos rashoda i izdataka'!$C$3:$C$504,"=81",'Unos rashoda i izdataka'!$P$3:$P$504,"=31")+SUMIFS('Unos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24407</v>
      </c>
      <c r="D43" s="74">
        <f>SUMIFS('Unos rashoda i izdataka'!$K$3:$K$504,'Unos rashoda i izdataka'!$C$3:$C$504,"=11",'Unos rashoda i izdataka'!$P$3:$P$504,"=32")+SUMIFS('Unos rashoda P4'!$I$3:$I$501,'Unos rashoda P4'!$A$3:$A$501,"=11",'Unos rashoda P4'!$S$3:$S$501,"=32")</f>
        <v>16360</v>
      </c>
      <c r="E43" s="74">
        <f>SUMIFS('Unos rashoda i izdataka'!$K$3:$K$504,'Unos rashoda i izdataka'!$C$3:$C$504,"=12",'Unos rashoda i izdataka'!$P$3:$P$504,"=32")+SUMIFS('Unos rashoda P4'!$I$3:$I$501,'Unos rashoda P4'!$A$3:$A$501,"=12",'Unos rashoda P4'!$S$3:$S$501,"=32")</f>
        <v>0</v>
      </c>
      <c r="F43" s="74">
        <f>SUMIFS('Unos rashoda i izdataka'!$K$3:$K$504,'Unos rashoda i izdataka'!$C$3:$C$504,"=31",'Unos rashoda i izdataka'!$P$3:$P$504,"=32")+SUMIFS('Unos rashoda P4'!$I$3:$I$501,'Unos rashoda P4'!$A$3:$A$501,"=31",'Unos rashoda P4'!$S$3:$S$501,"=32")</f>
        <v>0</v>
      </c>
      <c r="G43" s="74">
        <f>SUMIFS('Unos rashoda i izdataka'!$K$3:$K$504,'Unos rashoda i izdataka'!$C$3:$C$504,"=41",'Unos rashoda i izdataka'!$P$3:$P$504,"=32")+SUMIFS('Unos rashoda P4'!$I$3:$I$501,'Unos rashoda P4'!$A$3:$A$501,"=41",'Unos rashoda P4'!$S$3:$S$501,"=32")</f>
        <v>0</v>
      </c>
      <c r="H43" s="74">
        <f>SUMIFS('Unos rashoda i izdataka'!$K$3:$K$504,'Unos rashoda i izdataka'!$C$3:$C$504,"=43",'Unos rashoda i izdataka'!$P$3:$P$504,"=32")+SUMIFS('Unos rashoda P4'!$I$3:$I$501,'Unos rashoda P4'!$A$3:$A$501,"=43",'Unos rashoda P4'!$S$3:$S$501,"=32")</f>
        <v>-94362</v>
      </c>
      <c r="I43" s="74">
        <f>SUMIFS('Unos rashoda i izdataka'!$K$3:$K$504,'Unos rashoda i izdataka'!$C$3:$C$504,"=51",'Unos rashoda i izdataka'!$P$3:$P$504,"=32")+SUMIFS('Unos rashoda P4'!$I$3:$I$501,'Unos rashoda P4'!$A$3:$A$501,"=51",'Unos rashoda P4'!$S$3:$S$501,"=32")</f>
        <v>14148</v>
      </c>
      <c r="J43" s="74">
        <f>SUMIFS('Unos rashoda i izdataka'!$K$3:$K$504,'Unos rashoda i izdataka'!$C$3:$C$504,"=52",'Unos rashoda i izdataka'!$P$3:$P$504,"=32")+SUMIFS('Unos rashoda P4'!$I$3:$I$501,'Unos rashoda P4'!$A$3:$A$501,"=52",'Unos rashoda P4'!$S$3:$S$501,"=32")</f>
        <v>89261</v>
      </c>
      <c r="K43" s="74">
        <f>SUMIFS('Unos rashoda i izdataka'!$K$3:$K$504,'Unos rashoda i izdataka'!$C$3:$C$504,"=552",'Unos rashoda i izdataka'!$P$3:$P$504,"=32")+SUMIFS('Unos rashoda P4'!$I$3:$I$501,'Unos rashoda P4'!$A$3:$A$501,"=552",'Unos rashoda P4'!$S$3:$S$501,"=32")</f>
        <v>0</v>
      </c>
      <c r="L43" s="74">
        <f>SUMIFS('Unos rashoda i izdataka'!$K$3:$K$504,'Unos rashoda i izdataka'!$C$3:$C$504,"=559",'Unos rashoda i izdataka'!$P$3:$P$504,"=32")+SUMIFS('Unos rashoda P4'!$I$3:$I$501,'Unos rashoda P4'!$A$3:$A$501,"=559",'Unos rashoda P4'!$S$3:$S$501,"=32")</f>
        <v>0</v>
      </c>
      <c r="M43" s="74">
        <f>SUMIFS('Unos rashoda i izdataka'!$K$3:$K$504,'Unos rashoda i izdataka'!$C$3:$C$504,"=561",'Unos rashoda i izdataka'!$P$3:$P$504,"=32")+SUMIFS('Unos rashoda P4'!$I$3:$I$501,'Unos rashoda P4'!$A$3:$A$501,"=561",'Unos rashoda P4'!$S$3:$S$501,"=32")</f>
        <v>0</v>
      </c>
      <c r="N43" s="74">
        <f>SUMIFS('Unos rashoda i izdataka'!$K$3:$K$504,'Unos rashoda i izdataka'!$C$3:$C$504,"=563",'Unos rashoda i izdataka'!$P$3:$P$504,"=32")+SUMIFS('Unos rashoda P4'!$I$3:$I$501,'Unos rashoda P4'!$A$3:$A$501,"=563",'Unos rashoda P4'!$S$3:$S$501,"=32")</f>
        <v>0</v>
      </c>
      <c r="O43" s="74">
        <f>SUMIFS('Unos rashoda i izdataka'!$K$3:$K$504,'Unos rashoda i izdataka'!$C$3:$C$504,"=573",'Unos rashoda i izdataka'!$P$3:$P$504,"=32")+SUMIFS('Unos rashoda P4'!$I$3:$I$501,'Unos rashoda P4'!$A$3:$A$501,"=573",'Unos rashoda P4'!$S$3:$S$501,"=32")</f>
        <v>0</v>
      </c>
      <c r="P43" s="74">
        <f>SUMIFS('Unos rashoda i izdataka'!$K$3:$K$504,'Unos rashoda i izdataka'!$C$3:$C$504,"=575",'Unos rashoda i izdataka'!$P$3:$P$504,"=32")+SUMIFS('Unos rashoda P4'!$I$3:$I$501,'Unos rashoda P4'!$A$3:$A$501,"=575",'Unos rashoda P4'!$S$3:$S$501,"=32")</f>
        <v>0</v>
      </c>
      <c r="Q43" s="74">
        <f>SUMIFS('Unos rashoda i izdataka'!$K$3:$K$504,'Unos rashoda i izdataka'!$Q$3:$Q$504,"=576",'Unos rashoda i izdataka'!$P$3:$P$504,"=32")+SUMIFS('Unos rashoda P4'!$I$3:$I$501,'Unos rashoda P4'!$A$3:$A$501,"=576",'Unos rashoda P4'!$S$3:$S$501,"=32")</f>
        <v>0</v>
      </c>
      <c r="R43" s="74">
        <f>SUMIFS('Unos rashoda i izdataka'!$K$3:$K$504,'Unos rashoda i izdataka'!$C$3:$C$504,"=581",'Unos rashoda i izdataka'!$P$3:$P$504,"=32")+SUMIFS('Unos rashoda P4'!$I$3:$I$501,'Unos rashoda P4'!$A$3:$A$501,"=581",'Unos rashoda P4'!$S$3:$S$501,"=32")</f>
        <v>0</v>
      </c>
      <c r="S43" s="74">
        <f>SUMIFS('Unos rashoda i izdataka'!$K$3:$K$504,'Unos rashoda i izdataka'!$C$3:$C$504,"=61",'Unos rashoda i izdataka'!$P$3:$P$504,"=32")+SUMIFS('Unos rashoda P4'!$I$3:$I$501,'Unos rashoda P4'!$A$3:$A$501,"=61",'Unos rashoda P4'!$S$3:$S$501,"=32")</f>
        <v>-1000</v>
      </c>
      <c r="T43" s="74">
        <f>SUMIFS('Unos rashoda i izdataka'!$K$3:$K$504,'Unos rashoda i izdataka'!$C$3:$C$504,"=63",'Unos rashoda i izdataka'!$P$3:$P$504,"=32")+SUMIFS('Unos rashoda P4'!$I$3:$I$501,'Unos rashoda P4'!$A$3:$A$501,"=63",'Unos rashoda P4'!$S$3:$S$501,"=32")</f>
        <v>0</v>
      </c>
      <c r="U43" s="74">
        <f>SUMIFS('Unos rashoda i izdataka'!$K$3:$K$504,'Unos rashoda i izdataka'!$C$3:$C$504,"=71",'Unos rashoda i izdataka'!$P$3:$P$504,"=32")+SUMIFS('Unos rashoda P4'!$I$3:$I$501,'Unos rashoda P4'!$A$3:$A$501,"=71",'Unos rashoda P4'!$S$3:$S$501,"=32")</f>
        <v>0</v>
      </c>
      <c r="V43" s="74">
        <f>SUMIFS('Unos rashoda i izdataka'!$K$3:$K$504,'Unos rashoda i izdataka'!$C$3:$C$504,"=81",'Unos rashoda i izdataka'!$P$3:$P$504,"=32")+SUMIFS('Unos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0</v>
      </c>
      <c r="D44" s="74">
        <f>SUMIFS('Unos rashoda i izdataka'!$K$3:$K$504,'Unos rashoda i izdataka'!$C$3:$C$504,"=11",'Unos rashoda i izdataka'!$P$3:$P$504,"=34")+SUMIFS('Unos rashoda P4'!$I$3:$I$501,'Unos rashoda P4'!$A$3:$A$501,"=11",'Unos rashoda P4'!$S$3:$S$501,"=34")</f>
        <v>0</v>
      </c>
      <c r="E44" s="74">
        <f>SUMIFS('Unos rashoda i izdataka'!$K$3:$K$504,'Unos rashoda i izdataka'!$C$3:$C$504,"=12",'Unos rashoda i izdataka'!$P$3:$P$504,"=34")+SUMIFS('Unos rashoda P4'!$I$3:$I$501,'Unos rashoda P4'!$A$3:$A$501,"=12",'Unos rashoda P4'!$S$3:$S$501,"=34")</f>
        <v>0</v>
      </c>
      <c r="F44" s="74">
        <f>SUMIFS('Unos rashoda i izdataka'!$K$3:$K$504,'Unos rashoda i izdataka'!$C$3:$C$504,"=31",'Unos rashoda i izdataka'!$P$3:$P$504,"=34")+SUMIFS('Unos rashoda P4'!$I$3:$I$501,'Unos rashoda P4'!$A$3:$A$501,"=31",'Unos rashoda P4'!$S$3:$S$501,"=34")</f>
        <v>0</v>
      </c>
      <c r="G44" s="74">
        <f>SUMIFS('Unos rashoda i izdataka'!$K$3:$K$504,'Unos rashoda i izdataka'!$C$3:$C$504,"=41",'Unos rashoda i izdataka'!$P$3:$P$504,"=34")+SUMIFS('Unos rashoda P4'!$I$3:$I$501,'Unos rashoda P4'!$A$3:$A$501,"=41",'Unos rashoda P4'!$S$3:$S$501,"=34")</f>
        <v>0</v>
      </c>
      <c r="H44" s="74">
        <f>SUMIFS('Unos rashoda i izdataka'!$K$3:$K$504,'Unos rashoda i izdataka'!$C$3:$C$504,"=43",'Unos rashoda i izdataka'!$P$3:$P$504,"=34")+SUMIFS('Unos rashoda P4'!$I$3:$I$501,'Unos rashoda P4'!$A$3:$A$501,"=43",'Unos rashoda P4'!$S$3:$S$501,"=34")</f>
        <v>0</v>
      </c>
      <c r="I44" s="74">
        <f>SUMIFS('Unos rashoda i izdataka'!$K$3:$K$504,'Unos rashoda i izdataka'!$C$3:$C$504,"=51",'Unos rashoda i izdataka'!$P$3:$P$504,"=34")+SUMIFS('Unos rashoda P4'!$I$3:$I$501,'Unos rashoda P4'!$A$3:$A$501,"=51",'Unos rashoda P4'!$S$3:$S$501,"=34")</f>
        <v>0</v>
      </c>
      <c r="J44" s="74">
        <f>SUMIFS('Unos rashoda i izdataka'!$K$3:$K$504,'Unos rashoda i izdataka'!$C$3:$C$504,"=52",'Unos rashoda i izdataka'!$P$3:$P$504,"=34")+SUMIFS('Unos rashoda P4'!$I$3:$I$501,'Unos rashoda P4'!$A$3:$A$501,"=52",'Unos rashoda P4'!$S$3:$S$501,"=34")</f>
        <v>0</v>
      </c>
      <c r="K44" s="74">
        <f>SUMIFS('Unos rashoda i izdataka'!$K$3:$K$504,'Unos rashoda i izdataka'!$C$3:$C$504,"=552",'Unos rashoda i izdataka'!$P$3:$P$504,"=34")+SUMIFS('Unos rashoda P4'!$I$3:$I$501,'Unos rashoda P4'!$A$3:$A$501,"=552",'Unos rashoda P4'!$S$3:$S$501,"=34")</f>
        <v>0</v>
      </c>
      <c r="L44" s="74">
        <f>SUMIFS('Unos rashoda i izdataka'!$K$3:$K$504,'Unos rashoda i izdataka'!$C$3:$C$504,"=559",'Unos rashoda i izdataka'!$P$3:$P$504,"=34")+SUMIFS('Unos rashoda P4'!$I$3:$I$501,'Unos rashoda P4'!$A$3:$A$501,"=559",'Unos rashoda P4'!$S$3:$S$501,"=34")</f>
        <v>0</v>
      </c>
      <c r="M44" s="74">
        <f>SUMIFS('Unos rashoda i izdataka'!$K$3:$K$504,'Unos rashoda i izdataka'!$C$3:$C$504,"=561",'Unos rashoda i izdataka'!$P$3:$P$504,"=34")+SUMIFS('Unos rashoda P4'!$I$3:$I$501,'Unos rashoda P4'!$A$3:$A$501,"=561",'Unos rashoda P4'!$S$3:$S$501,"=34")</f>
        <v>0</v>
      </c>
      <c r="N44" s="74">
        <f>SUMIFS('Unos rashoda i izdataka'!$K$3:$K$504,'Unos rashoda i izdataka'!$C$3:$C$504,"=563",'Unos rashoda i izdataka'!$P$3:$P$504,"=34")+SUMIFS('Unos rashoda P4'!$I$3:$I$501,'Unos rashoda P4'!$A$3:$A$501,"=563",'Unos rashoda P4'!$S$3:$S$501,"=34")</f>
        <v>0</v>
      </c>
      <c r="O44" s="74">
        <f>SUMIFS('Unos rashoda i izdataka'!$K$3:$K$504,'Unos rashoda i izdataka'!$C$3:$C$504,"=573",'Unos rashoda i izdataka'!$P$3:$P$504,"=34")+SUMIFS('Unos rashoda P4'!$I$3:$I$501,'Unos rashoda P4'!$A$3:$A$501,"=573",'Unos rashoda P4'!$S$3:$S$501,"=34")</f>
        <v>0</v>
      </c>
      <c r="P44" s="74">
        <f>SUMIFS('Unos rashoda i izdataka'!$K$3:$K$504,'Unos rashoda i izdataka'!$C$3:$C$504,"=575",'Unos rashoda i izdataka'!$P$3:$P$504,"=34")+SUMIFS('Unos rashoda P4'!$I$3:$I$501,'Unos rashoda P4'!$A$3:$A$501,"=575",'Unos rashoda P4'!$S$3:$S$501,"=34")</f>
        <v>0</v>
      </c>
      <c r="Q44" s="74">
        <f>SUMIFS('Unos rashoda i izdataka'!$K$3:$K$504,'Unos rashoda i izdataka'!$Q$3:$Q$504,"=576",'Unos rashoda i izdataka'!$P$3:$P$504,"=34")+SUMIFS('Unos rashoda P4'!$I$3:$I$501,'Unos rashoda P4'!$A$3:$A$501,"=576",'Unos rashoda P4'!$S$3:$S$501,"=34")</f>
        <v>0</v>
      </c>
      <c r="R44" s="74">
        <f>SUMIFS('Unos rashoda i izdataka'!$K$3:$K$504,'Unos rashoda i izdataka'!$C$3:$C$504,"=581",'Unos rashoda i izdataka'!$P$3:$P$504,"=34")+SUMIFS('Unos rashoda P4'!$I$3:$I$501,'Unos rashoda P4'!$A$3:$A$501,"=581",'Unos rashoda P4'!$S$3:$S$501,"=34")</f>
        <v>0</v>
      </c>
      <c r="S44" s="74">
        <f>SUMIFS('Unos rashoda i izdataka'!$K$3:$K$504,'Unos rashoda i izdataka'!$C$3:$C$504,"=61",'Unos rashoda i izdataka'!$P$3:$P$504,"=34")+SUMIFS('Unos rashoda P4'!$I$3:$I$501,'Unos rashoda P4'!$A$3:$A$501,"=61",'Unos rashoda P4'!$S$3:$S$501,"=34")</f>
        <v>0</v>
      </c>
      <c r="T44" s="74">
        <f>SUMIFS('Unos rashoda i izdataka'!$K$3:$K$504,'Unos rashoda i izdataka'!$C$3:$C$504,"=63",'Unos rashoda i izdataka'!$P$3:$P$504,"=34")+SUMIFS('Unos rashoda P4'!$I$3:$I$501,'Unos rashoda P4'!$A$3:$A$501,"=63",'Unos rashoda P4'!$S$3:$S$501,"=34")</f>
        <v>0</v>
      </c>
      <c r="U44" s="74">
        <f>SUMIFS('Unos rashoda i izdataka'!$K$3:$K$504,'Unos rashoda i izdataka'!$C$3:$C$504,"=71",'Unos rashoda i izdataka'!$P$3:$P$504,"=34")+SUMIFS('Unos rashoda P4'!$I$3:$I$501,'Unos rashoda P4'!$A$3:$A$501,"=71",'Unos rashoda P4'!$S$3:$S$501,"=34")</f>
        <v>0</v>
      </c>
      <c r="V44" s="74">
        <f>SUMIFS('Unos rashoda i izdataka'!$K$3:$K$504,'Unos rashoda i izdataka'!$C$3:$C$504,"=81",'Unos rashoda i izdataka'!$P$3:$P$504,"=34")+SUMIFS('Unos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izdataka'!$K$3:$K$504,'Unos rashoda i izdataka'!$C$3:$C$504,"=11",'Unos rashoda i izdataka'!$P$3:$P$504,"=35")+SUMIFS('Unos rashoda P4'!$I$3:$I$501,'Unos rashoda P4'!$A$3:$A$501,"=11",'Unos rashoda P4'!$S$3:$S$501,"=35")</f>
        <v>0</v>
      </c>
      <c r="E45" s="74">
        <f>SUMIFS('Unos rashoda i izdataka'!$K$3:$K$504,'Unos rashoda i izdataka'!$C$3:$C$504,"=12",'Unos rashoda i izdataka'!$P$3:$P$504,"=35")+SUMIFS('Unos rashoda P4'!$I$3:$I$501,'Unos rashoda P4'!$A$3:$A$501,"=12",'Unos rashoda P4'!$S$3:$S$501,"=35")</f>
        <v>0</v>
      </c>
      <c r="F45" s="74">
        <f>SUMIFS('Unos rashoda i izdataka'!$K$3:$K$504,'Unos rashoda i izdataka'!$C$3:$C$504,"=31",'Unos rashoda i izdataka'!$P$3:$P$504,"=35")+SUMIFS('Unos rashoda P4'!$I$3:$I$501,'Unos rashoda P4'!$A$3:$A$501,"=31",'Unos rashoda P4'!$S$3:$S$501,"=35")</f>
        <v>0</v>
      </c>
      <c r="G45" s="74">
        <f>SUMIFS('Unos rashoda i izdataka'!$K$3:$K$504,'Unos rashoda i izdataka'!$C$3:$C$504,"=41",'Unos rashoda i izdataka'!$P$3:$P$504,"=35")+SUMIFS('Unos rashoda P4'!$I$3:$I$501,'Unos rashoda P4'!$A$3:$A$501,"=41",'Unos rashoda P4'!$S$3:$S$501,"=35")</f>
        <v>0</v>
      </c>
      <c r="H45" s="74">
        <f>SUMIFS('Unos rashoda i izdataka'!$K$3:$K$504,'Unos rashoda i izdataka'!$C$3:$C$504,"=43",'Unos rashoda i izdataka'!$P$3:$P$504,"=35")+SUMIFS('Unos rashoda P4'!$I$3:$I$501,'Unos rashoda P4'!$A$3:$A$501,"=43",'Unos rashoda P4'!$S$3:$S$501,"=35")</f>
        <v>0</v>
      </c>
      <c r="I45" s="74">
        <f>SUMIFS('Unos rashoda i izdataka'!$K$3:$K$504,'Unos rashoda i izdataka'!$C$3:$C$504,"=51",'Unos rashoda i izdataka'!$P$3:$P$504,"=35")+SUMIFS('Unos rashoda P4'!$I$3:$I$501,'Unos rashoda P4'!$A$3:$A$501,"=51",'Unos rashoda P4'!$S$3:$S$501,"=35")</f>
        <v>0</v>
      </c>
      <c r="J45" s="74">
        <f>SUMIFS('Unos rashoda i izdataka'!$K$3:$K$504,'Unos rashoda i izdataka'!$C$3:$C$504,"=52",'Unos rashoda i izdataka'!$P$3:$P$504,"=35")+SUMIFS('Unos rashoda P4'!$I$3:$I$501,'Unos rashoda P4'!$A$3:$A$501,"=52",'Unos rashoda P4'!$S$3:$S$501,"=35")</f>
        <v>0</v>
      </c>
      <c r="K45" s="74">
        <f>SUMIFS('Unos rashoda i izdataka'!$K$3:$K$504,'Unos rashoda i izdataka'!$C$3:$C$504,"=552",'Unos rashoda i izdataka'!$P$3:$P$504,"=35")+SUMIFS('Unos rashoda P4'!$I$3:$I$501,'Unos rashoda P4'!$A$3:$A$501,"=552",'Unos rashoda P4'!$S$3:$S$501,"=35")</f>
        <v>0</v>
      </c>
      <c r="L45" s="74">
        <f>SUMIFS('Unos rashoda i izdataka'!$K$3:$K$504,'Unos rashoda i izdataka'!$C$3:$C$504,"=559",'Unos rashoda i izdataka'!$P$3:$P$504,"=35")+SUMIFS('Unos rashoda P4'!$I$3:$I$501,'Unos rashoda P4'!$A$3:$A$501,"=559",'Unos rashoda P4'!$S$3:$S$501,"=35")</f>
        <v>0</v>
      </c>
      <c r="M45" s="74">
        <f>SUMIFS('Unos rashoda i izdataka'!$K$3:$K$504,'Unos rashoda i izdataka'!$C$3:$C$504,"=561",'Unos rashoda i izdataka'!$P$3:$P$504,"=35")+SUMIFS('Unos rashoda P4'!$I$3:$I$501,'Unos rashoda P4'!$A$3:$A$501,"=561",'Unos rashoda P4'!$S$3:$S$501,"=35")</f>
        <v>0</v>
      </c>
      <c r="N45" s="74">
        <f>SUMIFS('Unos rashoda i izdataka'!$K$3:$K$504,'Unos rashoda i izdataka'!$C$3:$C$504,"=563",'Unos rashoda i izdataka'!$P$3:$P$504,"=35")+SUMIFS('Unos rashoda P4'!$I$3:$I$501,'Unos rashoda P4'!$A$3:$A$501,"=563",'Unos rashoda P4'!$S$3:$S$501,"=35")</f>
        <v>0</v>
      </c>
      <c r="O45" s="74">
        <f>SUMIFS('Unos rashoda i izdataka'!$K$3:$K$504,'Unos rashoda i izdataka'!$C$3:$C$504,"=573",'Unos rashoda i izdataka'!$P$3:$P$504,"=35")+SUMIFS('Unos rashoda P4'!$I$3:$I$501,'Unos rashoda P4'!$A$3:$A$501,"=573",'Unos rashoda P4'!$S$3:$S$501,"=35")</f>
        <v>0</v>
      </c>
      <c r="P45" s="74">
        <f>SUMIFS('Unos rashoda i izdataka'!$K$3:$K$504,'Unos rashoda i izdataka'!$C$3:$C$504,"=575",'Unos rashoda i izdataka'!$P$3:$P$504,"=35")+SUMIFS('Unos rashoda P4'!$I$3:$I$501,'Unos rashoda P4'!$A$3:$A$501,"=575",'Unos rashoda P4'!$S$3:$S$501,"=35")</f>
        <v>0</v>
      </c>
      <c r="Q45" s="74">
        <f>SUMIFS('Unos rashoda i izdataka'!$K$3:$K$504,'Unos rashoda i izdataka'!$Q$3:$Q$504,"=576",'Unos rashoda i izdataka'!$P$3:$P$504,"=35")+SUMIFS('Unos rashoda P4'!$I$3:$I$501,'Unos rashoda P4'!$A$3:$A$501,"=576",'Unos rashoda P4'!$S$3:$S$501,"=35")</f>
        <v>0</v>
      </c>
      <c r="R45" s="74">
        <f>SUMIFS('Unos rashoda i izdataka'!$K$3:$K$504,'Unos rashoda i izdataka'!$C$3:$C$504,"=581",'Unos rashoda i izdataka'!$P$3:$P$504,"=35")+SUMIFS('Unos rashoda P4'!$I$3:$I$501,'Unos rashoda P4'!$A$3:$A$501,"=581",'Unos rashoda P4'!$S$3:$S$501,"=35")</f>
        <v>0</v>
      </c>
      <c r="S45" s="74">
        <f>SUMIFS('Unos rashoda i izdataka'!$K$3:$K$504,'Unos rashoda i izdataka'!$C$3:$C$504,"=61",'Unos rashoda i izdataka'!$P$3:$P$504,"=35")+SUMIFS('Unos rashoda P4'!$I$3:$I$501,'Unos rashoda P4'!$A$3:$A$501,"=61",'Unos rashoda P4'!$S$3:$S$501,"=35")</f>
        <v>0</v>
      </c>
      <c r="T45" s="74">
        <f>SUMIFS('Unos rashoda i izdataka'!$K$3:$K$504,'Unos rashoda i izdataka'!$C$3:$C$504,"=63",'Unos rashoda i izdataka'!$P$3:$P$504,"=35")+SUMIFS('Unos rashoda P4'!$I$3:$I$501,'Unos rashoda P4'!$A$3:$A$501,"=63",'Unos rashoda P4'!$S$3:$S$501,"=35")</f>
        <v>0</v>
      </c>
      <c r="U45" s="74">
        <f>SUMIFS('Unos rashoda i izdataka'!$K$3:$K$504,'Unos rashoda i izdataka'!$C$3:$C$504,"=71",'Unos rashoda i izdataka'!$P$3:$P$504,"=35")+SUMIFS('Unos rashoda P4'!$I$3:$I$501,'Unos rashoda P4'!$A$3:$A$501,"=71",'Unos rashoda P4'!$S$3:$S$501,"=35")</f>
        <v>0</v>
      </c>
      <c r="V45" s="74">
        <f>SUMIFS('Unos rashoda i izdataka'!$K$3:$K$504,'Unos rashoda i izdataka'!$C$3:$C$504,"=81",'Unos rashoda i izdataka'!$P$3:$P$504,"=35")+SUMIFS('Unos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izdataka'!$K$3:$K$504,'Unos rashoda i izdataka'!$C$3:$C$504,"=11",'Unos rashoda i izdataka'!$P$3:$P$504,"=36")+SUMIFS('Unos rashoda P4'!$I$3:$I$501,'Unos rashoda P4'!$A$3:$A$501,"=11",'Unos rashoda P4'!$S$3:$S$501,"=36")</f>
        <v>0</v>
      </c>
      <c r="E46" s="74">
        <f>SUMIFS('Unos rashoda i izdataka'!$K$3:$K$504,'Unos rashoda i izdataka'!$C$3:$C$504,"=12",'Unos rashoda i izdataka'!$P$3:$P$504,"=36")+SUMIFS('Unos rashoda P4'!$I$3:$I$501,'Unos rashoda P4'!$A$3:$A$501,"=12",'Unos rashoda P4'!$S$3:$S$501,"=36")</f>
        <v>0</v>
      </c>
      <c r="F46" s="74">
        <f>SUMIFS('Unos rashoda i izdataka'!$K$3:$K$504,'Unos rashoda i izdataka'!$C$3:$C$504,"=31",'Unos rashoda i izdataka'!$P$3:$P$504,"=36")+SUMIFS('Unos rashoda P4'!$I$3:$I$501,'Unos rashoda P4'!$A$3:$A$501,"=31",'Unos rashoda P4'!$S$3:$S$501,"=36")</f>
        <v>0</v>
      </c>
      <c r="G46" s="74">
        <f>SUMIFS('Unos rashoda i izdataka'!$K$3:$K$504,'Unos rashoda i izdataka'!$C$3:$C$504,"=41",'Unos rashoda i izdataka'!$P$3:$P$504,"=36")+SUMIFS('Unos rashoda P4'!$I$3:$I$501,'Unos rashoda P4'!$A$3:$A$501,"=41",'Unos rashoda P4'!$S$3:$S$501,"=36")</f>
        <v>0</v>
      </c>
      <c r="H46" s="74">
        <f>SUMIFS('Unos rashoda i izdataka'!$K$3:$K$504,'Unos rashoda i izdataka'!$C$3:$C$504,"=43",'Unos rashoda i izdataka'!$P$3:$P$504,"=36")+SUMIFS('Unos rashoda P4'!$I$3:$I$501,'Unos rashoda P4'!$A$3:$A$501,"=43",'Unos rashoda P4'!$S$3:$S$501,"=36")</f>
        <v>0</v>
      </c>
      <c r="I46" s="74">
        <f>SUMIFS('Unos rashoda i izdataka'!$K$3:$K$504,'Unos rashoda i izdataka'!$C$3:$C$504,"=51",'Unos rashoda i izdataka'!$P$3:$P$504,"=36")+SUMIFS('Unos rashoda P4'!$I$3:$I$501,'Unos rashoda P4'!$A$3:$A$501,"=51",'Unos rashoda P4'!$S$3:$S$501,"=36")</f>
        <v>0</v>
      </c>
      <c r="J46" s="74">
        <f>SUMIFS('Unos rashoda i izdataka'!$K$3:$K$504,'Unos rashoda i izdataka'!$C$3:$C$504,"=52",'Unos rashoda i izdataka'!$P$3:$P$504,"=36")+SUMIFS('Unos rashoda P4'!$I$3:$I$501,'Unos rashoda P4'!$A$3:$A$501,"=52",'Unos rashoda P4'!$S$3:$S$501,"=36")</f>
        <v>0</v>
      </c>
      <c r="K46" s="74">
        <f>SUMIFS('Unos rashoda i izdataka'!$K$3:$K$504,'Unos rashoda i izdataka'!$C$3:$C$504,"=552",'Unos rashoda i izdataka'!$P$3:$P$504,"=36")+SUMIFS('Unos rashoda P4'!$I$3:$I$501,'Unos rashoda P4'!$A$3:$A$501,"=552",'Unos rashoda P4'!$S$3:$S$501,"=36")</f>
        <v>0</v>
      </c>
      <c r="L46" s="74">
        <f>SUMIFS('Unos rashoda i izdataka'!$K$3:$K$504,'Unos rashoda i izdataka'!$C$3:$C$504,"=559",'Unos rashoda i izdataka'!$P$3:$P$504,"=36")+SUMIFS('Unos rashoda P4'!$I$3:$I$501,'Unos rashoda P4'!$A$3:$A$501,"=559",'Unos rashoda P4'!$S$3:$S$501,"=36")</f>
        <v>0</v>
      </c>
      <c r="M46" s="74">
        <f>SUMIFS('Unos rashoda i izdataka'!$K$3:$K$504,'Unos rashoda i izdataka'!$C$3:$C$504,"=561",'Unos rashoda i izdataka'!$P$3:$P$504,"=36")+SUMIFS('Unos rashoda P4'!$I$3:$I$501,'Unos rashoda P4'!$A$3:$A$501,"=561",'Unos rashoda P4'!$S$3:$S$501,"=36")</f>
        <v>0</v>
      </c>
      <c r="N46" s="74">
        <f>SUMIFS('Unos rashoda i izdataka'!$K$3:$K$504,'Unos rashoda i izdataka'!$C$3:$C$504,"=563",'Unos rashoda i izdataka'!$P$3:$P$504,"=36")+SUMIFS('Unos rashoda P4'!$I$3:$I$501,'Unos rashoda P4'!$A$3:$A$501,"=563",'Unos rashoda P4'!$S$3:$S$501,"=36")</f>
        <v>0</v>
      </c>
      <c r="O46" s="74">
        <f>SUMIFS('Unos rashoda i izdataka'!$K$3:$K$504,'Unos rashoda i izdataka'!$C$3:$C$504,"=573",'Unos rashoda i izdataka'!$P$3:$P$504,"=36")+SUMIFS('Unos rashoda P4'!$I$3:$I$501,'Unos rashoda P4'!$A$3:$A$501,"=573",'Unos rashoda P4'!$S$3:$S$501,"=36")</f>
        <v>0</v>
      </c>
      <c r="P46" s="74">
        <f>SUMIFS('Unos rashoda i izdataka'!$K$3:$K$504,'Unos rashoda i izdataka'!$C$3:$C$504,"=575",'Unos rashoda i izdataka'!$P$3:$P$504,"=36")+SUMIFS('Unos rashoda P4'!$I$3:$I$501,'Unos rashoda P4'!$A$3:$A$501,"=575",'Unos rashoda P4'!$S$3:$S$501,"=36")</f>
        <v>0</v>
      </c>
      <c r="Q46" s="74">
        <f>SUMIFS('Unos rashoda i izdataka'!$K$3:$K$504,'Unos rashoda i izdataka'!$Q$3:$Q$504,"=576",'Unos rashoda i izdataka'!$P$3:$P$504,"=36")+SUMIFS('Unos rashoda P4'!$I$3:$I$501,'Unos rashoda P4'!$A$3:$A$501,"=576",'Unos rashoda P4'!$S$3:$S$501,"=36")</f>
        <v>0</v>
      </c>
      <c r="R46" s="74">
        <f>SUMIFS('Unos rashoda i izdataka'!$K$3:$K$504,'Unos rashoda i izdataka'!$C$3:$C$504,"=581",'Unos rashoda i izdataka'!$P$3:$P$504,"=36")+SUMIFS('Unos rashoda P4'!$I$3:$I$501,'Unos rashoda P4'!$A$3:$A$501,"=581",'Unos rashoda P4'!$S$3:$S$501,"=36")</f>
        <v>0</v>
      </c>
      <c r="S46" s="74">
        <f>SUMIFS('Unos rashoda i izdataka'!$K$3:$K$504,'Unos rashoda i izdataka'!$C$3:$C$504,"=61",'Unos rashoda i izdataka'!$P$3:$P$504,"=36")+SUMIFS('Unos rashoda P4'!$I$3:$I$501,'Unos rashoda P4'!$A$3:$A$501,"=61",'Unos rashoda P4'!$S$3:$S$501,"=36")</f>
        <v>0</v>
      </c>
      <c r="T46" s="74">
        <f>SUMIFS('Unos rashoda i izdataka'!$K$3:$K$504,'Unos rashoda i izdataka'!$C$3:$C$504,"=63",'Unos rashoda i izdataka'!$P$3:$P$504,"=36")+SUMIFS('Unos rashoda P4'!$I$3:$I$501,'Unos rashoda P4'!$A$3:$A$501,"=63",'Unos rashoda P4'!$S$3:$S$501,"=36")</f>
        <v>0</v>
      </c>
      <c r="U46" s="74">
        <f>SUMIFS('Unos rashoda i izdataka'!$K$3:$K$504,'Unos rashoda i izdataka'!$C$3:$C$504,"=71",'Unos rashoda i izdataka'!$P$3:$P$504,"=36")+SUMIFS('Unos rashoda P4'!$I$3:$I$501,'Unos rashoda P4'!$A$3:$A$501,"=71",'Unos rashoda P4'!$S$3:$S$501,"=36")</f>
        <v>0</v>
      </c>
      <c r="V46" s="74">
        <f>SUMIFS('Unos rashoda i izdataka'!$K$3:$K$504,'Unos rashoda i izdataka'!$C$3:$C$504,"=81",'Unos rashoda i izdataka'!$P$3:$P$504,"=36")+SUMIFS('Unos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0</v>
      </c>
      <c r="D47" s="74">
        <f>SUMIFS('Unos rashoda i izdataka'!$K$3:$K$504,'Unos rashoda i izdataka'!$C$3:$C$504,"=11",'Unos rashoda i izdataka'!$P$3:$P$504,"=37")+SUMIFS('Unos rashoda P4'!$I$3:$I$501,'Unos rashoda P4'!$A$3:$A$501,"=11",'Unos rashoda P4'!$S$3:$S$501,"=37")</f>
        <v>0</v>
      </c>
      <c r="E47" s="74">
        <f>SUMIFS('Unos rashoda i izdataka'!$K$3:$K$504,'Unos rashoda i izdataka'!$C$3:$C$504,"=12",'Unos rashoda i izdataka'!$P$3:$P$504,"=37")+SUMIFS('Unos rashoda P4'!$I$3:$I$501,'Unos rashoda P4'!$A$3:$A$501,"=12",'Unos rashoda P4'!$S$3:$S$501,"=37")</f>
        <v>0</v>
      </c>
      <c r="F47" s="74">
        <f>SUMIFS('Unos rashoda i izdataka'!$K$3:$K$504,'Unos rashoda i izdataka'!$C$3:$C$504,"=31",'Unos rashoda i izdataka'!$P$3:$P$504,"=37")+SUMIFS('Unos rashoda P4'!$I$3:$I$501,'Unos rashoda P4'!$A$3:$A$501,"=31",'Unos rashoda P4'!$S$3:$S$501,"=37")</f>
        <v>0</v>
      </c>
      <c r="G47" s="74">
        <f>SUMIFS('Unos rashoda i izdataka'!$K$3:$K$504,'Unos rashoda i izdataka'!$C$3:$C$504,"=41",'Unos rashoda i izdataka'!$P$3:$P$504,"=37")+SUMIFS('Unos rashoda P4'!$I$3:$I$501,'Unos rashoda P4'!$A$3:$A$501,"=41",'Unos rashoda P4'!$S$3:$S$501,"=37")</f>
        <v>0</v>
      </c>
      <c r="H47" s="74">
        <f>SUMIFS('Unos rashoda i izdataka'!$K$3:$K$504,'Unos rashoda i izdataka'!$C$3:$C$504,"=43",'Unos rashoda i izdataka'!$P$3:$P$504,"=37")+SUMIFS('Unos rashoda P4'!$I$3:$I$501,'Unos rashoda P4'!$A$3:$A$501,"=43",'Unos rashoda P4'!$S$3:$S$501,"=37")</f>
        <v>0</v>
      </c>
      <c r="I47" s="74">
        <f>SUMIFS('Unos rashoda i izdataka'!$K$3:$K$504,'Unos rashoda i izdataka'!$C$3:$C$504,"=51",'Unos rashoda i izdataka'!$P$3:$P$504,"=37")+SUMIFS('Unos rashoda P4'!$I$3:$I$501,'Unos rashoda P4'!$A$3:$A$501,"=51",'Unos rashoda P4'!$S$3:$S$501,"=37")</f>
        <v>0</v>
      </c>
      <c r="J47" s="74">
        <f>SUMIFS('Unos rashoda i izdataka'!$K$3:$K$504,'Unos rashoda i izdataka'!$C$3:$C$504,"=52",'Unos rashoda i izdataka'!$P$3:$P$504,"=37")+SUMIFS('Unos rashoda P4'!$I$3:$I$501,'Unos rashoda P4'!$A$3:$A$501,"=52",'Unos rashoda P4'!$S$3:$S$501,"=37")</f>
        <v>0</v>
      </c>
      <c r="K47" s="74">
        <f>SUMIFS('Unos rashoda i izdataka'!$K$3:$K$504,'Unos rashoda i izdataka'!$C$3:$C$504,"=552",'Unos rashoda i izdataka'!$P$3:$P$504,"=37")+SUMIFS('Unos rashoda P4'!$I$3:$I$501,'Unos rashoda P4'!$A$3:$A$501,"=552",'Unos rashoda P4'!$S$3:$S$501,"=37")</f>
        <v>0</v>
      </c>
      <c r="L47" s="74">
        <f>SUMIFS('Unos rashoda i izdataka'!$K$3:$K$504,'Unos rashoda i izdataka'!$C$3:$C$504,"=559",'Unos rashoda i izdataka'!$P$3:$P$504,"=37")+SUMIFS('Unos rashoda P4'!$I$3:$I$501,'Unos rashoda P4'!$A$3:$A$501,"=559",'Unos rashoda P4'!$S$3:$S$501,"=37")</f>
        <v>0</v>
      </c>
      <c r="M47" s="74">
        <f>SUMIFS('Unos rashoda i izdataka'!$K$3:$K$504,'Unos rashoda i izdataka'!$C$3:$C$504,"=561",'Unos rashoda i izdataka'!$P$3:$P$504,"=37")+SUMIFS('Unos rashoda P4'!$I$3:$I$501,'Unos rashoda P4'!$A$3:$A$501,"=561",'Unos rashoda P4'!$S$3:$S$501,"=37")</f>
        <v>0</v>
      </c>
      <c r="N47" s="74">
        <f>SUMIFS('Unos rashoda i izdataka'!$K$3:$K$504,'Unos rashoda i izdataka'!$C$3:$C$504,"=563",'Unos rashoda i izdataka'!$P$3:$P$504,"=37")+SUMIFS('Unos rashoda P4'!$I$3:$I$501,'Unos rashoda P4'!$A$3:$A$501,"=563",'Unos rashoda P4'!$S$3:$S$501,"=37")</f>
        <v>0</v>
      </c>
      <c r="O47" s="74">
        <f>SUMIFS('Unos rashoda i izdataka'!$K$3:$K$504,'Unos rashoda i izdataka'!$C$3:$C$504,"=573",'Unos rashoda i izdataka'!$P$3:$P$504,"=37")+SUMIFS('Unos rashoda P4'!$I$3:$I$501,'Unos rashoda P4'!$A$3:$A$501,"=573",'Unos rashoda P4'!$S$3:$S$501,"=37")</f>
        <v>0</v>
      </c>
      <c r="P47" s="74">
        <f>SUMIFS('Unos rashoda i izdataka'!$K$3:$K$504,'Unos rashoda i izdataka'!$C$3:$C$504,"=575",'Unos rashoda i izdataka'!$P$3:$P$504,"=37")+SUMIFS('Unos rashoda P4'!$I$3:$I$501,'Unos rashoda P4'!$A$3:$A$501,"=575",'Unos rashoda P4'!$S$3:$S$501,"=37")</f>
        <v>0</v>
      </c>
      <c r="Q47" s="74">
        <f>SUMIFS('Unos rashoda i izdataka'!$K$3:$K$504,'Unos rashoda i izdataka'!$Q$3:$Q$504,"=576",'Unos rashoda i izdataka'!$P$3:$P$504,"=37")+SUMIFS('Unos rashoda P4'!$I$3:$I$501,'Unos rashoda P4'!$A$3:$A$501,"=576",'Unos rashoda P4'!$S$3:$S$501,"=37")</f>
        <v>0</v>
      </c>
      <c r="R47" s="74">
        <f>SUMIFS('Unos rashoda i izdataka'!$K$3:$K$504,'Unos rashoda i izdataka'!$C$3:$C$504,"=581",'Unos rashoda i izdataka'!$P$3:$P$504,"=37")+SUMIFS('Unos rashoda P4'!$I$3:$I$501,'Unos rashoda P4'!$A$3:$A$501,"=581",'Unos rashoda P4'!$S$3:$S$501,"=37")</f>
        <v>0</v>
      </c>
      <c r="S47" s="74">
        <f>SUMIFS('Unos rashoda i izdataka'!$K$3:$K$504,'Unos rashoda i izdataka'!$C$3:$C$504,"=61",'Unos rashoda i izdataka'!$P$3:$P$504,"=37")+SUMIFS('Unos rashoda P4'!$I$3:$I$501,'Unos rashoda P4'!$A$3:$A$501,"=61",'Unos rashoda P4'!$S$3:$S$501,"=37")</f>
        <v>0</v>
      </c>
      <c r="T47" s="74">
        <f>SUMIFS('Unos rashoda i izdataka'!$K$3:$K$504,'Unos rashoda i izdataka'!$C$3:$C$504,"=63",'Unos rashoda i izdataka'!$P$3:$P$504,"=37")+SUMIFS('Unos rashoda P4'!$I$3:$I$501,'Unos rashoda P4'!$A$3:$A$501,"=63",'Unos rashoda P4'!$S$3:$S$501,"=37")</f>
        <v>0</v>
      </c>
      <c r="U47" s="74">
        <f>SUMIFS('Unos rashoda i izdataka'!$K$3:$K$504,'Unos rashoda i izdataka'!$C$3:$C$504,"=71",'Unos rashoda i izdataka'!$P$3:$P$504,"=37")+SUMIFS('Unos rashoda P4'!$I$3:$I$501,'Unos rashoda P4'!$A$3:$A$501,"=71",'Unos rashoda P4'!$S$3:$S$501,"=37")</f>
        <v>0</v>
      </c>
      <c r="V47" s="74">
        <f>SUMIFS('Unos rashoda i izdataka'!$K$3:$K$504,'Unos rashoda i izdataka'!$C$3:$C$504,"=81",'Unos rashoda i izdataka'!$P$3:$P$504,"=37")+SUMIFS('Unos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izdataka'!$K$3:$K$504,'Unos rashoda i izdataka'!$C$3:$C$504,"=11",'Unos rashoda i izdataka'!$P$3:$P$504,"=38")+SUMIFS('Unos rashoda P4'!$I$3:$I$501,'Unos rashoda P4'!$A$3:$A$501,"=11",'Unos rashoda P4'!$S$3:$S$501,"=38")</f>
        <v>0</v>
      </c>
      <c r="E48" s="74">
        <f>SUMIFS('Unos rashoda i izdataka'!$K$3:$K$504,'Unos rashoda i izdataka'!$C$3:$C$504,"=12",'Unos rashoda i izdataka'!$P$3:$P$504,"=38")+SUMIFS('Unos rashoda P4'!$I$3:$I$501,'Unos rashoda P4'!$A$3:$A$501,"=12",'Unos rashoda P4'!$S$3:$S$501,"=38")</f>
        <v>0</v>
      </c>
      <c r="F48" s="74">
        <f>SUMIFS('Unos rashoda i izdataka'!$K$3:$K$504,'Unos rashoda i izdataka'!$C$3:$C$504,"=31",'Unos rashoda i izdataka'!$P$3:$P$504,"=38")+SUMIFS('Unos rashoda P4'!$I$3:$I$501,'Unos rashoda P4'!$A$3:$A$501,"=31",'Unos rashoda P4'!$S$3:$S$501,"=38")</f>
        <v>0</v>
      </c>
      <c r="G48" s="74">
        <f>SUMIFS('Unos rashoda i izdataka'!$K$3:$K$504,'Unos rashoda i izdataka'!$C$3:$C$504,"=41",'Unos rashoda i izdataka'!$P$3:$P$504,"=38")+SUMIFS('Unos rashoda P4'!$I$3:$I$501,'Unos rashoda P4'!$A$3:$A$501,"=41",'Unos rashoda P4'!$S$3:$S$501,"=38")</f>
        <v>0</v>
      </c>
      <c r="H48" s="74">
        <f>SUMIFS('Unos rashoda i izdataka'!$K$3:$K$504,'Unos rashoda i izdataka'!$C$3:$C$504,"=43",'Unos rashoda i izdataka'!$P$3:$P$504,"=38")+SUMIFS('Unos rashoda P4'!$I$3:$I$501,'Unos rashoda P4'!$A$3:$A$501,"=43",'Unos rashoda P4'!$S$3:$S$501,"=38")</f>
        <v>0</v>
      </c>
      <c r="I48" s="74">
        <f>SUMIFS('Unos rashoda i izdataka'!$K$3:$K$504,'Unos rashoda i izdataka'!$C$3:$C$504,"=51",'Unos rashoda i izdataka'!$P$3:$P$504,"=38")+SUMIFS('Unos rashoda P4'!$I$3:$I$501,'Unos rashoda P4'!$A$3:$A$501,"=51",'Unos rashoda P4'!$S$3:$S$501,"=38")</f>
        <v>0</v>
      </c>
      <c r="J48" s="74">
        <f>SUMIFS('Unos rashoda i izdataka'!$K$3:$K$504,'Unos rashoda i izdataka'!$C$3:$C$504,"=52",'Unos rashoda i izdataka'!$P$3:$P$504,"=38")+SUMIFS('Unos rashoda P4'!$I$3:$I$501,'Unos rashoda P4'!$A$3:$A$501,"=52",'Unos rashoda P4'!$S$3:$S$501,"=38")</f>
        <v>0</v>
      </c>
      <c r="K48" s="74">
        <f>SUMIFS('Unos rashoda i izdataka'!$K$3:$K$504,'Unos rashoda i izdataka'!$C$3:$C$504,"=552",'Unos rashoda i izdataka'!$P$3:$P$504,"=38")+SUMIFS('Unos rashoda P4'!$I$3:$I$501,'Unos rashoda P4'!$A$3:$A$501,"=552",'Unos rashoda P4'!$S$3:$S$501,"=38")</f>
        <v>0</v>
      </c>
      <c r="L48" s="74">
        <f>SUMIFS('Unos rashoda i izdataka'!$K$3:$K$504,'Unos rashoda i izdataka'!$C$3:$C$504,"=559",'Unos rashoda i izdataka'!$P$3:$P$504,"=38")+SUMIFS('Unos rashoda P4'!$I$3:$I$501,'Unos rashoda P4'!$A$3:$A$501,"=559",'Unos rashoda P4'!$S$3:$S$501,"=38")</f>
        <v>0</v>
      </c>
      <c r="M48" s="74">
        <f>SUMIFS('Unos rashoda i izdataka'!$K$3:$K$504,'Unos rashoda i izdataka'!$C$3:$C$504,"=561",'Unos rashoda i izdataka'!$P$3:$P$504,"=38")+SUMIFS('Unos rashoda P4'!$I$3:$I$501,'Unos rashoda P4'!$A$3:$A$501,"=561",'Unos rashoda P4'!$S$3:$S$501,"=38")</f>
        <v>0</v>
      </c>
      <c r="N48" s="74">
        <f>SUMIFS('Unos rashoda i izdataka'!$K$3:$K$504,'Unos rashoda i izdataka'!$C$3:$C$504,"=563",'Unos rashoda i izdataka'!$P$3:$P$504,"=38")+SUMIFS('Unos rashoda P4'!$I$3:$I$501,'Unos rashoda P4'!$A$3:$A$501,"=563",'Unos rashoda P4'!$S$3:$S$501,"=38")</f>
        <v>0</v>
      </c>
      <c r="O48" s="74">
        <f>SUMIFS('Unos rashoda i izdataka'!$K$3:$K$504,'Unos rashoda i izdataka'!$C$3:$C$504,"=573",'Unos rashoda i izdataka'!$P$3:$P$504,"=38")+SUMIFS('Unos rashoda P4'!$I$3:$I$501,'Unos rashoda P4'!$A$3:$A$501,"=573",'Unos rashoda P4'!$S$3:$S$501,"=38")</f>
        <v>0</v>
      </c>
      <c r="P48" s="74">
        <f>SUMIFS('Unos rashoda i izdataka'!$K$3:$K$504,'Unos rashoda i izdataka'!$C$3:$C$504,"=575",'Unos rashoda i izdataka'!$P$3:$P$504,"=38")+SUMIFS('Unos rashoda P4'!$I$3:$I$501,'Unos rashoda P4'!$A$3:$A$501,"=575",'Unos rashoda P4'!$S$3:$S$501,"=38")</f>
        <v>0</v>
      </c>
      <c r="Q48" s="74">
        <f>SUMIFS('Unos rashoda i izdataka'!$K$3:$K$504,'Unos rashoda i izdataka'!$Q$3:$Q$504,"=576",'Unos rashoda i izdataka'!$P$3:$P$504,"=38")+SUMIFS('Unos rashoda P4'!$I$3:$I$501,'Unos rashoda P4'!$A$3:$A$501,"=576",'Unos rashoda P4'!$S$3:$S$501,"=38")</f>
        <v>0</v>
      </c>
      <c r="R48" s="74">
        <f>SUMIFS('Unos rashoda i izdataka'!$K$3:$K$504,'Unos rashoda i izdataka'!$C$3:$C$504,"=581",'Unos rashoda i izdataka'!$P$3:$P$504,"=38")+SUMIFS('Unos rashoda P4'!$I$3:$I$501,'Unos rashoda P4'!$A$3:$A$501,"=581",'Unos rashoda P4'!$S$3:$S$501,"=38")</f>
        <v>0</v>
      </c>
      <c r="S48" s="74">
        <f>SUMIFS('Unos rashoda i izdataka'!$K$3:$K$504,'Unos rashoda i izdataka'!$C$3:$C$504,"=61",'Unos rashoda i izdataka'!$P$3:$P$504,"=38")+SUMIFS('Unos rashoda P4'!$I$3:$I$501,'Unos rashoda P4'!$A$3:$A$501,"=61",'Unos rashoda P4'!$S$3:$S$501,"=38")</f>
        <v>0</v>
      </c>
      <c r="T48" s="74">
        <f>SUMIFS('Unos rashoda i izdataka'!$K$3:$K$504,'Unos rashoda i izdataka'!$C$3:$C$504,"=63",'Unos rashoda i izdataka'!$P$3:$P$504,"=38")+SUMIFS('Unos rashoda P4'!$I$3:$I$501,'Unos rashoda P4'!$A$3:$A$501,"=63",'Unos rashoda P4'!$S$3:$S$501,"=38")</f>
        <v>0</v>
      </c>
      <c r="U48" s="74">
        <f>SUMIFS('Unos rashoda i izdataka'!$K$3:$K$504,'Unos rashoda i izdataka'!$C$3:$C$504,"=71",'Unos rashoda i izdataka'!$P$3:$P$504,"=38")+SUMIFS('Unos rashoda P4'!$I$3:$I$501,'Unos rashoda P4'!$A$3:$A$501,"=71",'Unos rashoda P4'!$S$3:$S$501,"=38")</f>
        <v>0</v>
      </c>
      <c r="V48" s="74">
        <f>SUMIFS('Unos rashoda i izdataka'!$K$3:$K$504,'Unos rashoda i izdataka'!$C$3:$C$504,"=81",'Unos rashoda i izdataka'!$P$3:$P$504,"=38")+SUMIFS('Unos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43328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40365</v>
      </c>
      <c r="I49" s="69">
        <f t="shared" ref="I49" si="12">+I50+I51+I52+I53+I54</f>
        <v>2963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izdataka'!$K$3:$K$504,'Unos rashoda i izdataka'!$C$3:$C$504,"=11",'Unos rashoda i izdataka'!$P$3:$P$504,"=41")+SUMIFS('Unos rashoda P4'!$I$3:$I$501,'Unos rashoda P4'!$A$3:$A$501,"=11",'Unos rashoda P4'!$S$3:$S$501,"=41")</f>
        <v>0</v>
      </c>
      <c r="E50" s="74">
        <f>SUMIFS('Unos rashoda i izdataka'!$K$3:$K$504,'Unos rashoda i izdataka'!$C$3:$C$504,"=12",'Unos rashoda i izdataka'!$P$3:$P$504,"=41")+SUMIFS('Unos rashoda P4'!$I$3:$I$501,'Unos rashoda P4'!$A$3:$A$501,"=12",'Unos rashoda P4'!$S$3:$S$501,"=41")</f>
        <v>0</v>
      </c>
      <c r="F50" s="74">
        <f>SUMIFS('Unos rashoda i izdataka'!$K$3:$K$504,'Unos rashoda i izdataka'!$C$3:$C$504,"=31",'Unos rashoda i izdataka'!$P$3:$P$504,"=41")+SUMIFS('Unos rashoda P4'!$I$3:$I$501,'Unos rashoda P4'!$A$3:$A$501,"=31",'Unos rashoda P4'!$S$3:$S$501,"=41")</f>
        <v>0</v>
      </c>
      <c r="G50" s="74">
        <f>SUMIFS('Unos rashoda i izdataka'!$K$3:$K$504,'Unos rashoda i izdataka'!$C$3:$C$504,"=41",'Unos rashoda i izdataka'!$P$3:$P$504,"=41")+SUMIFS('Unos rashoda P4'!$I$3:$I$501,'Unos rashoda P4'!$A$3:$A$501,"=41",'Unos rashoda P4'!$S$3:$S$501,"=41")</f>
        <v>0</v>
      </c>
      <c r="H50" s="74">
        <f>SUMIFS('Unos rashoda i izdataka'!$K$3:$K$504,'Unos rashoda i izdataka'!$C$3:$C$504,"=43",'Unos rashoda i izdataka'!$P$3:$P$504,"=41")+SUMIFS('Unos rashoda P4'!$I$3:$I$501,'Unos rashoda P4'!$A$3:$A$501,"=43",'Unos rashoda P4'!$S$3:$S$501,"=41")</f>
        <v>0</v>
      </c>
      <c r="I50" s="74">
        <f>SUMIFS('Unos rashoda i izdataka'!$K$3:$K$504,'Unos rashoda i izdataka'!$C$3:$C$504,"=51",'Unos rashoda i izdataka'!$P$3:$P$504,"=41")+SUMIFS('Unos rashoda P4'!$I$3:$I$501,'Unos rashoda P4'!$A$3:$A$501,"=51",'Unos rashoda P4'!$S$3:$S$501,"=41")</f>
        <v>0</v>
      </c>
      <c r="J50" s="74">
        <f>SUMIFS('Unos rashoda i izdataka'!$K$3:$K$504,'Unos rashoda i izdataka'!$C$3:$C$504,"=52",'Unos rashoda i izdataka'!$P$3:$P$504,"=41")+SUMIFS('Unos rashoda P4'!$I$3:$I$501,'Unos rashoda P4'!$A$3:$A$501,"=52",'Unos rashoda P4'!$S$3:$S$501,"=41")</f>
        <v>0</v>
      </c>
      <c r="K50" s="74">
        <f>SUMIFS('Unos rashoda i izdataka'!$K$3:$K$504,'Unos rashoda i izdataka'!$C$3:$C$504,"=552",'Unos rashoda i izdataka'!$P$3:$P$504,"=41")+SUMIFS('Unos rashoda P4'!$I$3:$I$501,'Unos rashoda P4'!$A$3:$A$501,"=552",'Unos rashoda P4'!$S$3:$S$501,"=41")</f>
        <v>0</v>
      </c>
      <c r="L50" s="74">
        <f>SUMIFS('Unos rashoda i izdataka'!$K$3:$K$504,'Unos rashoda i izdataka'!$C$3:$C$504,"=559",'Unos rashoda i izdataka'!$P$3:$P$504,"=41")+SUMIFS('Unos rashoda P4'!$I$3:$I$501,'Unos rashoda P4'!$A$3:$A$501,"=559",'Unos rashoda P4'!$S$3:$S$501,"=41")</f>
        <v>0</v>
      </c>
      <c r="M50" s="74">
        <f>SUMIFS('Unos rashoda i izdataka'!$K$3:$K$504,'Unos rashoda i izdataka'!$C$3:$C$504,"=561",'Unos rashoda i izdataka'!$P$3:$P$504,"=41")+SUMIFS('Unos rashoda P4'!$I$3:$I$501,'Unos rashoda P4'!$A$3:$A$501,"=561",'Unos rashoda P4'!$S$3:$S$501,"=41")</f>
        <v>0</v>
      </c>
      <c r="N50" s="74">
        <f>SUMIFS('Unos rashoda i izdataka'!$K$3:$K$504,'Unos rashoda i izdataka'!$C$3:$C$504,"=563",'Unos rashoda i izdataka'!$P$3:$P$504,"=41")+SUMIFS('Unos rashoda P4'!$I$3:$I$501,'Unos rashoda P4'!$A$3:$A$501,"=563",'Unos rashoda P4'!$S$3:$S$501,"=41")</f>
        <v>0</v>
      </c>
      <c r="O50" s="74">
        <f>SUMIFS('Unos rashoda i izdataka'!$K$3:$K$504,'Unos rashoda i izdataka'!$C$3:$C$504,"=573",'Unos rashoda i izdataka'!$P$3:$P$504,"=41")+SUMIFS('Unos rashoda P4'!$I$3:$I$501,'Unos rashoda P4'!$A$3:$A$501,"=573",'Unos rashoda P4'!$S$3:$S$501,"=41")</f>
        <v>0</v>
      </c>
      <c r="P50" s="74">
        <f>SUMIFS('Unos rashoda i izdataka'!$K$3:$K$504,'Unos rashoda i izdataka'!$C$3:$C$504,"=575",'Unos rashoda i izdataka'!$P$3:$P$504,"=41")+SUMIFS('Unos rashoda P4'!$I$3:$I$501,'Unos rashoda P4'!$A$3:$A$501,"=575",'Unos rashoda P4'!$S$3:$S$501,"=41")</f>
        <v>0</v>
      </c>
      <c r="Q50" s="74">
        <f>SUMIFS('Unos rashoda i izdataka'!$K$3:$K$504,'Unos rashoda i izdataka'!$Q$3:$Q$504,"=576",'Unos rashoda i izdataka'!$P$3:$P$504,"=41")+SUMIFS('Unos rashoda P4'!$I$3:$I$501,'Unos rashoda P4'!$A$3:$A$501,"=576",'Unos rashoda P4'!$S$3:$S$501,"=41")</f>
        <v>0</v>
      </c>
      <c r="R50" s="74">
        <f>SUMIFS('Unos rashoda i izdataka'!$K$3:$K$504,'Unos rashoda i izdataka'!$C$3:$C$504,"=581",'Unos rashoda i izdataka'!$P$3:$P$504,"=41")+SUMIFS('Unos rashoda P4'!$I$3:$I$501,'Unos rashoda P4'!$A$3:$A$501,"=581",'Unos rashoda P4'!$S$3:$S$501,"=41")</f>
        <v>0</v>
      </c>
      <c r="S50" s="74">
        <f>SUMIFS('Unos rashoda i izdataka'!$K$3:$K$504,'Unos rashoda i izdataka'!$C$3:$C$504,"=61",'Unos rashoda i izdataka'!$P$3:$P$504,"=41")+SUMIFS('Unos rashoda P4'!$I$3:$I$501,'Unos rashoda P4'!$A$3:$A$501,"=61",'Unos rashoda P4'!$S$3:$S$501,"=41")</f>
        <v>0</v>
      </c>
      <c r="T50" s="74">
        <f>SUMIFS('Unos rashoda i izdataka'!$K$3:$K$504,'Unos rashoda i izdataka'!$C$3:$C$504,"=63",'Unos rashoda i izdataka'!$P$3:$P$504,"=41")+SUMIFS('Unos rashoda P4'!$I$3:$I$501,'Unos rashoda P4'!$A$3:$A$501,"=63",'Unos rashoda P4'!$S$3:$S$501,"=41")</f>
        <v>0</v>
      </c>
      <c r="U50" s="74">
        <f>SUMIFS('Unos rashoda i izdataka'!$K$3:$K$504,'Unos rashoda i izdataka'!$C$3:$C$504,"=71",'Unos rashoda i izdataka'!$P$3:$P$504,"=41")+SUMIFS('Unos rashoda P4'!$I$3:$I$501,'Unos rashoda P4'!$A$3:$A$501,"=71",'Unos rashoda P4'!$S$3:$S$501,"=41")</f>
        <v>0</v>
      </c>
      <c r="V50" s="74">
        <f>SUMIFS('Unos rashoda i izdataka'!$K$3:$K$504,'Unos rashoda i izdataka'!$C$3:$C$504,"=81",'Unos rashoda i izdataka'!$P$3:$P$504,"=41")+SUMIFS('Unos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-6672</v>
      </c>
      <c r="D51" s="74">
        <f>SUMIFS('Unos rashoda i izdataka'!$K$3:$K$504,'Unos rashoda i izdataka'!$C$3:$C$504,"=11",'Unos rashoda i izdataka'!$P$3:$P$504,"=42")+SUMIFS('Unos rashoda P4'!$I$3:$I$501,'Unos rashoda P4'!$A$3:$A$501,"=11",'Unos rashoda P4'!$S$3:$S$501,"=42")</f>
        <v>0</v>
      </c>
      <c r="E51" s="74">
        <f>SUMIFS('Unos rashoda i izdataka'!$K$3:$K$504,'Unos rashoda i izdataka'!$C$3:$C$504,"=12",'Unos rashoda i izdataka'!$P$3:$P$504,"=42")+SUMIFS('Unos rashoda P4'!$I$3:$I$501,'Unos rashoda P4'!$A$3:$A$501,"=12",'Unos rashoda P4'!$S$3:$S$501,"=42")</f>
        <v>0</v>
      </c>
      <c r="F51" s="74">
        <f>SUMIFS('Unos rashoda i izdataka'!$K$3:$K$504,'Unos rashoda i izdataka'!$C$3:$C$504,"=31",'Unos rashoda i izdataka'!$P$3:$P$504,"=42")+SUMIFS('Unos rashoda P4'!$I$3:$I$501,'Unos rashoda P4'!$A$3:$A$501,"=31",'Unos rashoda P4'!$S$3:$S$501,"=42")</f>
        <v>0</v>
      </c>
      <c r="G51" s="74">
        <f>SUMIFS('Unos rashoda i izdataka'!$K$3:$K$504,'Unos rashoda i izdataka'!$C$3:$C$504,"=41",'Unos rashoda i izdataka'!$P$3:$P$504,"=42")+SUMIFS('Unos rashoda P4'!$I$3:$I$501,'Unos rashoda P4'!$A$3:$A$501,"=41",'Unos rashoda P4'!$S$3:$S$501,"=42")</f>
        <v>0</v>
      </c>
      <c r="H51" s="74">
        <f>SUMIFS('Unos rashoda i izdataka'!$K$3:$K$504,'Unos rashoda i izdataka'!$C$3:$C$504,"=43",'Unos rashoda i izdataka'!$P$3:$P$504,"=42")+SUMIFS('Unos rashoda P4'!$I$3:$I$501,'Unos rashoda P4'!$A$3:$A$501,"=43",'Unos rashoda P4'!$S$3:$S$501,"=42")</f>
        <v>-9635</v>
      </c>
      <c r="I51" s="74">
        <f>SUMIFS('Unos rashoda i izdataka'!$K$3:$K$504,'Unos rashoda i izdataka'!$C$3:$C$504,"=51",'Unos rashoda i izdataka'!$P$3:$P$504,"=42")+SUMIFS('Unos rashoda P4'!$I$3:$I$501,'Unos rashoda P4'!$A$3:$A$501,"=51",'Unos rashoda P4'!$S$3:$S$501,"=42")</f>
        <v>2963</v>
      </c>
      <c r="J51" s="74">
        <f>SUMIFS('Unos rashoda i izdataka'!$K$3:$K$504,'Unos rashoda i izdataka'!$C$3:$C$504,"=52",'Unos rashoda i izdataka'!$P$3:$P$504,"=42")+SUMIFS('Unos rashoda P4'!$I$3:$I$501,'Unos rashoda P4'!$A$3:$A$501,"=52",'Unos rashoda P4'!$S$3:$S$501,"=42")</f>
        <v>0</v>
      </c>
      <c r="K51" s="74">
        <f>SUMIFS('Unos rashoda i izdataka'!$K$3:$K$504,'Unos rashoda i izdataka'!$C$3:$C$504,"=552",'Unos rashoda i izdataka'!$P$3:$P$504,"=42")+SUMIFS('Unos rashoda P4'!$I$3:$I$501,'Unos rashoda P4'!$A$3:$A$501,"=552",'Unos rashoda P4'!$S$3:$S$501,"=42")</f>
        <v>0</v>
      </c>
      <c r="L51" s="74">
        <f>SUMIFS('Unos rashoda i izdataka'!$K$3:$K$504,'Unos rashoda i izdataka'!$C$3:$C$504,"=559",'Unos rashoda i izdataka'!$P$3:$P$504,"=42")+SUMIFS('Unos rashoda P4'!$I$3:$I$501,'Unos rashoda P4'!$A$3:$A$501,"=559",'Unos rashoda P4'!$S$3:$S$501,"=42")</f>
        <v>0</v>
      </c>
      <c r="M51" s="74">
        <f>SUMIFS('Unos rashoda i izdataka'!$K$3:$K$504,'Unos rashoda i izdataka'!$C$3:$C$504,"=561",'Unos rashoda i izdataka'!$P$3:$P$504,"=42")+SUMIFS('Unos rashoda P4'!$I$3:$I$501,'Unos rashoda P4'!$A$3:$A$501,"=561",'Unos rashoda P4'!$S$3:$S$501,"=42")</f>
        <v>0</v>
      </c>
      <c r="N51" s="74">
        <f>SUMIFS('Unos rashoda i izdataka'!$K$3:$K$504,'Unos rashoda i izdataka'!$C$3:$C$504,"=563",'Unos rashoda i izdataka'!$P$3:$P$504,"=42")+SUMIFS('Unos rashoda P4'!$I$3:$I$501,'Unos rashoda P4'!$A$3:$A$501,"=563",'Unos rashoda P4'!$S$3:$S$501,"=42")</f>
        <v>0</v>
      </c>
      <c r="O51" s="74">
        <f>SUMIFS('Unos rashoda i izdataka'!$K$3:$K$504,'Unos rashoda i izdataka'!$C$3:$C$504,"=573",'Unos rashoda i izdataka'!$P$3:$P$504,"=42")+SUMIFS('Unos rashoda P4'!$I$3:$I$501,'Unos rashoda P4'!$A$3:$A$501,"=573",'Unos rashoda P4'!$S$3:$S$501,"=42")</f>
        <v>0</v>
      </c>
      <c r="P51" s="74">
        <f>SUMIFS('Unos rashoda i izdataka'!$K$3:$K$504,'Unos rashoda i izdataka'!$C$3:$C$504,"=575",'Unos rashoda i izdataka'!$P$3:$P$504,"=42")+SUMIFS('Unos rashoda P4'!$I$3:$I$501,'Unos rashoda P4'!$A$3:$A$501,"=575",'Unos rashoda P4'!$S$3:$S$501,"=42")</f>
        <v>0</v>
      </c>
      <c r="Q51" s="74">
        <f>SUMIFS('Unos rashoda i izdataka'!$K$3:$K$504,'Unos rashoda i izdataka'!$Q$3:$Q$504,"=576",'Unos rashoda i izdataka'!$P$3:$P$504,"=42")+SUMIFS('Unos rashoda P4'!$I$3:$I$501,'Unos rashoda P4'!$A$3:$A$501,"=576",'Unos rashoda P4'!$S$3:$S$501,"=42")</f>
        <v>0</v>
      </c>
      <c r="R51" s="74">
        <f>SUMIFS('Unos rashoda i izdataka'!$K$3:$K$504,'Unos rashoda i izdataka'!$C$3:$C$504,"=581",'Unos rashoda i izdataka'!$P$3:$P$504,"=42")+SUMIFS('Unos rashoda P4'!$I$3:$I$501,'Unos rashoda P4'!$A$3:$A$501,"=581",'Unos rashoda P4'!$S$3:$S$501,"=42")</f>
        <v>0</v>
      </c>
      <c r="S51" s="74">
        <f>SUMIFS('Unos rashoda i izdataka'!$K$3:$K$504,'Unos rashoda i izdataka'!$C$3:$C$504,"=61",'Unos rashoda i izdataka'!$P$3:$P$504,"=42")+SUMIFS('Unos rashoda P4'!$I$3:$I$501,'Unos rashoda P4'!$A$3:$A$501,"=61",'Unos rashoda P4'!$S$3:$S$501,"=42")</f>
        <v>0</v>
      </c>
      <c r="T51" s="74">
        <f>SUMIFS('Unos rashoda i izdataka'!$K$3:$K$504,'Unos rashoda i izdataka'!$C$3:$C$504,"=63",'Unos rashoda i izdataka'!$P$3:$P$504,"=42")+SUMIFS('Unos rashoda P4'!$I$3:$I$501,'Unos rashoda P4'!$A$3:$A$501,"=63",'Unos rashoda P4'!$S$3:$S$501,"=42")</f>
        <v>0</v>
      </c>
      <c r="U51" s="74">
        <f>SUMIFS('Unos rashoda i izdataka'!$K$3:$K$504,'Unos rashoda i izdataka'!$C$3:$C$504,"=71",'Unos rashoda i izdataka'!$P$3:$P$504,"=42")+SUMIFS('Unos rashoda P4'!$I$3:$I$501,'Unos rashoda P4'!$A$3:$A$501,"=71",'Unos rashoda P4'!$S$3:$S$501,"=42")</f>
        <v>0</v>
      </c>
      <c r="V51" s="74">
        <f>SUMIFS('Unos rashoda i izdataka'!$K$3:$K$504,'Unos rashoda i izdataka'!$C$3:$C$504,"=81",'Unos rashoda i izdataka'!$P$3:$P$504,"=42")+SUMIFS('Unos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izdataka'!$K$3:$K$504,'Unos rashoda i izdataka'!$C$3:$C$504,"=11",'Unos rashoda i izdataka'!$P$3:$P$504,"=43")+SUMIFS('Unos rashoda P4'!$I$3:$I$501,'Unos rashoda P4'!$A$3:$A$501,"=11",'Unos rashoda P4'!$S$3:$S$501,"=43")</f>
        <v>0</v>
      </c>
      <c r="E52" s="74">
        <f>SUMIFS('Unos rashoda i izdataka'!$K$3:$K$504,'Unos rashoda i izdataka'!$C$3:$C$504,"=12",'Unos rashoda i izdataka'!$P$3:$P$504,"=43")+SUMIFS('Unos rashoda P4'!$I$3:$I$501,'Unos rashoda P4'!$A$3:$A$501,"=12",'Unos rashoda P4'!$S$3:$S$501,"=43")</f>
        <v>0</v>
      </c>
      <c r="F52" s="74">
        <f>SUMIFS('Unos rashoda i izdataka'!$K$3:$K$504,'Unos rashoda i izdataka'!$C$3:$C$504,"=31",'Unos rashoda i izdataka'!$P$3:$P$504,"=43")+SUMIFS('Unos rashoda P4'!$I$3:$I$501,'Unos rashoda P4'!$A$3:$A$501,"=31",'Unos rashoda P4'!$S$3:$S$501,"=43")</f>
        <v>0</v>
      </c>
      <c r="G52" s="74">
        <f>SUMIFS('Unos rashoda i izdataka'!$K$3:$K$504,'Unos rashoda i izdataka'!$C$3:$C$504,"=41",'Unos rashoda i izdataka'!$P$3:$P$504,"=43")+SUMIFS('Unos rashoda P4'!$I$3:$I$501,'Unos rashoda P4'!$A$3:$A$501,"=41",'Unos rashoda P4'!$S$3:$S$501,"=43")</f>
        <v>0</v>
      </c>
      <c r="H52" s="74">
        <f>SUMIFS('Unos rashoda i izdataka'!$K$3:$K$504,'Unos rashoda i izdataka'!$C$3:$C$504,"=43",'Unos rashoda i izdataka'!$P$3:$P$504,"=43")+SUMIFS('Unos rashoda P4'!$I$3:$I$501,'Unos rashoda P4'!$A$3:$A$501,"=43",'Unos rashoda P4'!$S$3:$S$501,"=43")</f>
        <v>0</v>
      </c>
      <c r="I52" s="74">
        <f>SUMIFS('Unos rashoda i izdataka'!$K$3:$K$504,'Unos rashoda i izdataka'!$C$3:$C$504,"=51",'Unos rashoda i izdataka'!$P$3:$P$504,"=43")+SUMIFS('Unos rashoda P4'!$I$3:$I$501,'Unos rashoda P4'!$A$3:$A$501,"=51",'Unos rashoda P4'!$S$3:$S$501,"=43")</f>
        <v>0</v>
      </c>
      <c r="J52" s="74">
        <f>SUMIFS('Unos rashoda i izdataka'!$K$3:$K$504,'Unos rashoda i izdataka'!$C$3:$C$504,"=52",'Unos rashoda i izdataka'!$P$3:$P$504,"=43")+SUMIFS('Unos rashoda P4'!$I$3:$I$501,'Unos rashoda P4'!$A$3:$A$501,"=52",'Unos rashoda P4'!$S$3:$S$501,"=43")</f>
        <v>0</v>
      </c>
      <c r="K52" s="74">
        <f>SUMIFS('Unos rashoda i izdataka'!$K$3:$K$504,'Unos rashoda i izdataka'!$C$3:$C$504,"=552",'Unos rashoda i izdataka'!$P$3:$P$504,"=43")+SUMIFS('Unos rashoda P4'!$I$3:$I$501,'Unos rashoda P4'!$A$3:$A$501,"=552",'Unos rashoda P4'!$S$3:$S$501,"=43")</f>
        <v>0</v>
      </c>
      <c r="L52" s="74">
        <f>SUMIFS('Unos rashoda i izdataka'!$K$3:$K$504,'Unos rashoda i izdataka'!$C$3:$C$504,"=559",'Unos rashoda i izdataka'!$P$3:$P$504,"=43")+SUMIFS('Unos rashoda P4'!$I$3:$I$501,'Unos rashoda P4'!$A$3:$A$501,"=559",'Unos rashoda P4'!$S$3:$S$501,"=43")</f>
        <v>0</v>
      </c>
      <c r="M52" s="74">
        <f>SUMIFS('Unos rashoda i izdataka'!$K$3:$K$504,'Unos rashoda i izdataka'!$C$3:$C$504,"=561",'Unos rashoda i izdataka'!$P$3:$P$504,"=43")+SUMIFS('Unos rashoda P4'!$I$3:$I$501,'Unos rashoda P4'!$A$3:$A$501,"=561",'Unos rashoda P4'!$S$3:$S$501,"=43")</f>
        <v>0</v>
      </c>
      <c r="N52" s="74">
        <f>SUMIFS('Unos rashoda i izdataka'!$K$3:$K$504,'Unos rashoda i izdataka'!$C$3:$C$504,"=563",'Unos rashoda i izdataka'!$P$3:$P$504,"=43")+SUMIFS('Unos rashoda P4'!$I$3:$I$501,'Unos rashoda P4'!$A$3:$A$501,"=563",'Unos rashoda P4'!$S$3:$S$501,"=43")</f>
        <v>0</v>
      </c>
      <c r="O52" s="74">
        <f>SUMIFS('Unos rashoda i izdataka'!$K$3:$K$504,'Unos rashoda i izdataka'!$C$3:$C$504,"=573",'Unos rashoda i izdataka'!$P$3:$P$504,"=43")+SUMIFS('Unos rashoda P4'!$I$3:$I$501,'Unos rashoda P4'!$A$3:$A$501,"=573",'Unos rashoda P4'!$S$3:$S$501,"=43")</f>
        <v>0</v>
      </c>
      <c r="P52" s="74">
        <f>SUMIFS('Unos rashoda i izdataka'!$K$3:$K$504,'Unos rashoda i izdataka'!$C$3:$C$504,"=575",'Unos rashoda i izdataka'!$P$3:$P$504,"=43")+SUMIFS('Unos rashoda P4'!$I$3:$I$501,'Unos rashoda P4'!$A$3:$A$501,"=575",'Unos rashoda P4'!$S$3:$S$501,"=43")</f>
        <v>0</v>
      </c>
      <c r="Q52" s="74">
        <f>SUMIFS('Unos rashoda i izdataka'!$K$3:$K$504,'Unos rashoda i izdataka'!$Q$3:$Q$504,"=576",'Unos rashoda i izdataka'!$P$3:$P$504,"=43")+SUMIFS('Unos rashoda P4'!$I$3:$I$501,'Unos rashoda P4'!$A$3:$A$501,"=576",'Unos rashoda P4'!$S$3:$S$501,"=43")</f>
        <v>0</v>
      </c>
      <c r="R52" s="74">
        <f>SUMIFS('Unos rashoda i izdataka'!$K$3:$K$504,'Unos rashoda i izdataka'!$C$3:$C$504,"=581",'Unos rashoda i izdataka'!$P$3:$P$504,"=43")+SUMIFS('Unos rashoda P4'!$I$3:$I$501,'Unos rashoda P4'!$A$3:$A$501,"=581",'Unos rashoda P4'!$S$3:$S$501,"=43")</f>
        <v>0</v>
      </c>
      <c r="S52" s="74">
        <f>SUMIFS('Unos rashoda i izdataka'!$K$3:$K$504,'Unos rashoda i izdataka'!$C$3:$C$504,"=61",'Unos rashoda i izdataka'!$P$3:$P$504,"=43")+SUMIFS('Unos rashoda P4'!$I$3:$I$501,'Unos rashoda P4'!$A$3:$A$501,"=61",'Unos rashoda P4'!$S$3:$S$501,"=43")</f>
        <v>0</v>
      </c>
      <c r="T52" s="74">
        <f>SUMIFS('Unos rashoda i izdataka'!$K$3:$K$504,'Unos rashoda i izdataka'!$C$3:$C$504,"=63",'Unos rashoda i izdataka'!$P$3:$P$504,"=43")+SUMIFS('Unos rashoda P4'!$I$3:$I$501,'Unos rashoda P4'!$A$3:$A$501,"=63",'Unos rashoda P4'!$S$3:$S$501,"=43")</f>
        <v>0</v>
      </c>
      <c r="U52" s="74">
        <f>SUMIFS('Unos rashoda i izdataka'!$K$3:$K$504,'Unos rashoda i izdataka'!$C$3:$C$504,"=71",'Unos rashoda i izdataka'!$P$3:$P$504,"=43")+SUMIFS('Unos rashoda P4'!$I$3:$I$501,'Unos rashoda P4'!$A$3:$A$501,"=71",'Unos rashoda P4'!$S$3:$S$501,"=43")</f>
        <v>0</v>
      </c>
      <c r="V52" s="74">
        <f>SUMIFS('Unos rashoda i izdataka'!$K$3:$K$504,'Unos rashoda i izdataka'!$C$3:$C$504,"=81",'Unos rashoda i izdataka'!$P$3:$P$504,"=43")+SUMIFS('Unos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izdataka'!$K$3:$K$504,'Unos rashoda i izdataka'!$C$3:$C$504,"=11",'Unos rashoda i izdataka'!$P$3:$P$504,"=44")+SUMIFS('Unos rashoda P4'!$I$3:$I$501,'Unos rashoda P4'!$A$3:$A$501,"=11",'Unos rashoda P4'!$S$3:$S$501,"=44")</f>
        <v>0</v>
      </c>
      <c r="E53" s="74">
        <f>SUMIFS('Unos rashoda i izdataka'!$K$3:$K$504,'Unos rashoda i izdataka'!$C$3:$C$504,"=12",'Unos rashoda i izdataka'!$P$3:$P$504,"=44")+SUMIFS('Unos rashoda P4'!$I$3:$I$501,'Unos rashoda P4'!$A$3:$A$501,"=12",'Unos rashoda P4'!$S$3:$S$501,"=44")</f>
        <v>0</v>
      </c>
      <c r="F53" s="74">
        <f>SUMIFS('Unos rashoda i izdataka'!$K$3:$K$504,'Unos rashoda i izdataka'!$C$3:$C$504,"=31",'Unos rashoda i izdataka'!$P$3:$P$504,"=44")+SUMIFS('Unos rashoda P4'!$I$3:$I$501,'Unos rashoda P4'!$A$3:$A$501,"=31",'Unos rashoda P4'!$S$3:$S$501,"=44")</f>
        <v>0</v>
      </c>
      <c r="G53" s="74">
        <f>SUMIFS('Unos rashoda i izdataka'!$K$3:$K$504,'Unos rashoda i izdataka'!$C$3:$C$504,"=41",'Unos rashoda i izdataka'!$P$3:$P$504,"=44")+SUMIFS('Unos rashoda P4'!$I$3:$I$501,'Unos rashoda P4'!$A$3:$A$501,"=41",'Unos rashoda P4'!$S$3:$S$501,"=44")</f>
        <v>0</v>
      </c>
      <c r="H53" s="74">
        <f>SUMIFS('Unos rashoda i izdataka'!$K$3:$K$504,'Unos rashoda i izdataka'!$C$3:$C$504,"=43",'Unos rashoda i izdataka'!$P$3:$P$504,"=44")+SUMIFS('Unos rashoda P4'!$I$3:$I$501,'Unos rashoda P4'!$A$3:$A$501,"=43",'Unos rashoda P4'!$S$3:$S$501,"=44")</f>
        <v>0</v>
      </c>
      <c r="I53" s="74">
        <f>SUMIFS('Unos rashoda i izdataka'!$K$3:$K$504,'Unos rashoda i izdataka'!$C$3:$C$504,"=51",'Unos rashoda i izdataka'!$P$3:$P$504,"=44")+SUMIFS('Unos rashoda P4'!$I$3:$I$501,'Unos rashoda P4'!$A$3:$A$501,"=51",'Unos rashoda P4'!$S$3:$S$501,"=44")</f>
        <v>0</v>
      </c>
      <c r="J53" s="74">
        <f>SUMIFS('Unos rashoda i izdataka'!$K$3:$K$504,'Unos rashoda i izdataka'!$C$3:$C$504,"=52",'Unos rashoda i izdataka'!$P$3:$P$504,"=44")+SUMIFS('Unos rashoda P4'!$I$3:$I$501,'Unos rashoda P4'!$A$3:$A$501,"=52",'Unos rashoda P4'!$S$3:$S$501,"=44")</f>
        <v>0</v>
      </c>
      <c r="K53" s="74">
        <f>SUMIFS('Unos rashoda i izdataka'!$K$3:$K$504,'Unos rashoda i izdataka'!$C$3:$C$504,"=552",'Unos rashoda i izdataka'!$P$3:$P$504,"=44")+SUMIFS('Unos rashoda P4'!$I$3:$I$501,'Unos rashoda P4'!$A$3:$A$501,"=552",'Unos rashoda P4'!$S$3:$S$501,"=44")</f>
        <v>0</v>
      </c>
      <c r="L53" s="74">
        <f>SUMIFS('Unos rashoda i izdataka'!$K$3:$K$504,'Unos rashoda i izdataka'!$C$3:$C$504,"=559",'Unos rashoda i izdataka'!$P$3:$P$504,"=44")+SUMIFS('Unos rashoda P4'!$I$3:$I$501,'Unos rashoda P4'!$A$3:$A$501,"=559",'Unos rashoda P4'!$S$3:$S$501,"=44")</f>
        <v>0</v>
      </c>
      <c r="M53" s="74">
        <f>SUMIFS('Unos rashoda i izdataka'!$K$3:$K$504,'Unos rashoda i izdataka'!$C$3:$C$504,"=561",'Unos rashoda i izdataka'!$P$3:$P$504,"=44")+SUMIFS('Unos rashoda P4'!$I$3:$I$501,'Unos rashoda P4'!$A$3:$A$501,"=561",'Unos rashoda P4'!$S$3:$S$501,"=44")</f>
        <v>0</v>
      </c>
      <c r="N53" s="74">
        <f>SUMIFS('Unos rashoda i izdataka'!$K$3:$K$504,'Unos rashoda i izdataka'!$C$3:$C$504,"=563",'Unos rashoda i izdataka'!$P$3:$P$504,"=44")+SUMIFS('Unos rashoda P4'!$I$3:$I$501,'Unos rashoda P4'!$A$3:$A$501,"=563",'Unos rashoda P4'!$S$3:$S$501,"=44")</f>
        <v>0</v>
      </c>
      <c r="O53" s="74">
        <f>SUMIFS('Unos rashoda i izdataka'!$K$3:$K$504,'Unos rashoda i izdataka'!$C$3:$C$504,"=573",'Unos rashoda i izdataka'!$P$3:$P$504,"=44")+SUMIFS('Unos rashoda P4'!$I$3:$I$501,'Unos rashoda P4'!$A$3:$A$501,"=573",'Unos rashoda P4'!$S$3:$S$501,"=44")</f>
        <v>0</v>
      </c>
      <c r="P53" s="74">
        <f>SUMIFS('Unos rashoda i izdataka'!$K$3:$K$504,'Unos rashoda i izdataka'!$C$3:$C$504,"=575",'Unos rashoda i izdataka'!$P$3:$P$504,"=44")+SUMIFS('Unos rashoda P4'!$I$3:$I$501,'Unos rashoda P4'!$A$3:$A$501,"=575",'Unos rashoda P4'!$S$3:$S$501,"=44")</f>
        <v>0</v>
      </c>
      <c r="Q53" s="74">
        <f>SUMIFS('Unos rashoda i izdataka'!$K$3:$K$504,'Unos rashoda i izdataka'!$Q$3:$Q$504,"=576",'Unos rashoda i izdataka'!$P$3:$P$504,"=44")+SUMIFS('Unos rashoda P4'!$I$3:$I$501,'Unos rashoda P4'!$A$3:$A$501,"=576",'Unos rashoda P4'!$S$3:$S$501,"=44")</f>
        <v>0</v>
      </c>
      <c r="R53" s="74">
        <f>SUMIFS('Unos rashoda i izdataka'!$K$3:$K$504,'Unos rashoda i izdataka'!$C$3:$C$504,"=581",'Unos rashoda i izdataka'!$P$3:$P$504,"=44")+SUMIFS('Unos rashoda P4'!$I$3:$I$501,'Unos rashoda P4'!$A$3:$A$501,"=581",'Unos rashoda P4'!$S$3:$S$501,"=44")</f>
        <v>0</v>
      </c>
      <c r="S53" s="74">
        <f>SUMIFS('Unos rashoda i izdataka'!$K$3:$K$504,'Unos rashoda i izdataka'!$C$3:$C$504,"=61",'Unos rashoda i izdataka'!$P$3:$P$504,"=44")+SUMIFS('Unos rashoda P4'!$I$3:$I$501,'Unos rashoda P4'!$A$3:$A$501,"=61",'Unos rashoda P4'!$S$3:$S$501,"=44")</f>
        <v>0</v>
      </c>
      <c r="T53" s="74">
        <f>SUMIFS('Unos rashoda i izdataka'!$K$3:$K$504,'Unos rashoda i izdataka'!$C$3:$C$504,"=63",'Unos rashoda i izdataka'!$P$3:$P$504,"=44")+SUMIFS('Unos rashoda P4'!$I$3:$I$501,'Unos rashoda P4'!$A$3:$A$501,"=63",'Unos rashoda P4'!$S$3:$S$501,"=44")</f>
        <v>0</v>
      </c>
      <c r="U53" s="74">
        <f>SUMIFS('Unos rashoda i izdataka'!$K$3:$K$504,'Unos rashoda i izdataka'!$C$3:$C$504,"=71",'Unos rashoda i izdataka'!$P$3:$P$504,"=44")+SUMIFS('Unos rashoda P4'!$I$3:$I$501,'Unos rashoda P4'!$A$3:$A$501,"=71",'Unos rashoda P4'!$S$3:$S$501,"=44")</f>
        <v>0</v>
      </c>
      <c r="V53" s="74">
        <f>SUMIFS('Unos rashoda i izdataka'!$K$3:$K$504,'Unos rashoda i izdataka'!$C$3:$C$504,"=81",'Unos rashoda i izdataka'!$P$3:$P$504,"=44")+SUMIFS('Unos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50000</v>
      </c>
      <c r="D54" s="74">
        <f>SUMIFS('Unos rashoda i izdataka'!$K$3:$K$504,'Unos rashoda i izdataka'!$C$3:$C$504,"=11",'Unos rashoda i izdataka'!$P$3:$P$504,"=45")+SUMIFS('Unos rashoda P4'!$I$3:$I$501,'Unos rashoda P4'!$A$3:$A$501,"=11",'Unos rashoda P4'!$S$3:$S$501,"=45")</f>
        <v>0</v>
      </c>
      <c r="E54" s="74">
        <f>SUMIFS('Unos rashoda i izdataka'!$K$3:$K$504,'Unos rashoda i izdataka'!$C$3:$C$504,"=12",'Unos rashoda i izdataka'!$P$3:$P$504,"=45")+SUMIFS('Unos rashoda P4'!$I$3:$I$501,'Unos rashoda P4'!$A$3:$A$501,"=12",'Unos rashoda P4'!$S$3:$S$501,"=45")</f>
        <v>0</v>
      </c>
      <c r="F54" s="74">
        <f>SUMIFS('Unos rashoda i izdataka'!$K$3:$K$504,'Unos rashoda i izdataka'!$C$3:$C$504,"=31",'Unos rashoda i izdataka'!$P$3:$P$504,"=45")+SUMIFS('Unos rashoda P4'!$I$3:$I$501,'Unos rashoda P4'!$A$3:$A$501,"=31",'Unos rashoda P4'!$S$3:$S$501,"=45")</f>
        <v>0</v>
      </c>
      <c r="G54" s="74">
        <f>SUMIFS('Unos rashoda i izdataka'!$K$3:$K$504,'Unos rashoda i izdataka'!$C$3:$C$504,"=41",'Unos rashoda i izdataka'!$P$3:$P$504,"=45")+SUMIFS('Unos rashoda P4'!$I$3:$I$501,'Unos rashoda P4'!$A$3:$A$501,"=41",'Unos rashoda P4'!$S$3:$S$501,"=45")</f>
        <v>0</v>
      </c>
      <c r="H54" s="74">
        <f>SUMIFS('Unos rashoda i izdataka'!$K$3:$K$504,'Unos rashoda i izdataka'!$C$3:$C$504,"=43",'Unos rashoda i izdataka'!$P$3:$P$504,"=45")+SUMIFS('Unos rashoda P4'!$I$3:$I$501,'Unos rashoda P4'!$A$3:$A$501,"=43",'Unos rashoda P4'!$S$3:$S$501,"=45")</f>
        <v>50000</v>
      </c>
      <c r="I54" s="74">
        <f>SUMIFS('Unos rashoda i izdataka'!$K$3:$K$504,'Unos rashoda i izdataka'!$C$3:$C$504,"=51",'Unos rashoda i izdataka'!$P$3:$P$504,"=45")+SUMIFS('Unos rashoda P4'!$I$3:$I$501,'Unos rashoda P4'!$A$3:$A$501,"=51",'Unos rashoda P4'!$S$3:$S$501,"=45")</f>
        <v>0</v>
      </c>
      <c r="J54" s="74">
        <f>SUMIFS('Unos rashoda i izdataka'!$K$3:$K$504,'Unos rashoda i izdataka'!$C$3:$C$504,"=52",'Unos rashoda i izdataka'!$P$3:$P$504,"=45")+SUMIFS('Unos rashoda P4'!$I$3:$I$501,'Unos rashoda P4'!$A$3:$A$501,"=52",'Unos rashoda P4'!$S$3:$S$501,"=45")</f>
        <v>0</v>
      </c>
      <c r="K54" s="74">
        <f>SUMIFS('Unos rashoda i izdataka'!$K$3:$K$504,'Unos rashoda i izdataka'!$C$3:$C$504,"=552",'Unos rashoda i izdataka'!$P$3:$P$504,"=45")+SUMIFS('Unos rashoda P4'!$I$3:$I$501,'Unos rashoda P4'!$A$3:$A$501,"=552",'Unos rashoda P4'!$S$3:$S$501,"=45")</f>
        <v>0</v>
      </c>
      <c r="L54" s="74">
        <f>SUMIFS('Unos rashoda i izdataka'!$K$3:$K$504,'Unos rashoda i izdataka'!$C$3:$C$504,"=559",'Unos rashoda i izdataka'!$P$3:$P$504,"=45")+SUMIFS('Unos rashoda P4'!$I$3:$I$501,'Unos rashoda P4'!$A$3:$A$501,"=559",'Unos rashoda P4'!$S$3:$S$501,"=45")</f>
        <v>0</v>
      </c>
      <c r="M54" s="74">
        <f>SUMIFS('Unos rashoda i izdataka'!$K$3:$K$504,'Unos rashoda i izdataka'!$C$3:$C$504,"=561",'Unos rashoda i izdataka'!$P$3:$P$504,"=45")+SUMIFS('Unos rashoda P4'!$I$3:$I$501,'Unos rashoda P4'!$A$3:$A$501,"=561",'Unos rashoda P4'!$S$3:$S$501,"=45")</f>
        <v>0</v>
      </c>
      <c r="N54" s="74">
        <f>SUMIFS('Unos rashoda i izdataka'!$K$3:$K$504,'Unos rashoda i izdataka'!$C$3:$C$504,"=563",'Unos rashoda i izdataka'!$P$3:$P$504,"=45")+SUMIFS('Unos rashoda P4'!$I$3:$I$501,'Unos rashoda P4'!$A$3:$A$501,"=563",'Unos rashoda P4'!$S$3:$S$501,"=45")</f>
        <v>0</v>
      </c>
      <c r="O54" s="74">
        <f>SUMIFS('Unos rashoda i izdataka'!$K$3:$K$504,'Unos rashoda i izdataka'!$C$3:$C$504,"=573",'Unos rashoda i izdataka'!$P$3:$P$504,"=45")+SUMIFS('Unos rashoda P4'!$I$3:$I$501,'Unos rashoda P4'!$A$3:$A$501,"=573",'Unos rashoda P4'!$S$3:$S$501,"=45")</f>
        <v>0</v>
      </c>
      <c r="P54" s="74">
        <f>SUMIFS('Unos rashoda i izdataka'!$K$3:$K$504,'Unos rashoda i izdataka'!$C$3:$C$504,"=575",'Unos rashoda i izdataka'!$P$3:$P$504,"=45")+SUMIFS('Unos rashoda P4'!$I$3:$I$501,'Unos rashoda P4'!$A$3:$A$501,"=575",'Unos rashoda P4'!$S$3:$S$501,"=45")</f>
        <v>0</v>
      </c>
      <c r="Q54" s="74">
        <f>SUMIFS('Unos rashoda i izdataka'!$K$3:$K$504,'Unos rashoda i izdataka'!$Q$3:$Q$504,"=576",'Unos rashoda i izdataka'!$P$3:$P$504,"=45")+SUMIFS('Unos rashoda P4'!$I$3:$I$501,'Unos rashoda P4'!$A$3:$A$501,"=576",'Unos rashoda P4'!$S$3:$S$501,"=45")</f>
        <v>0</v>
      </c>
      <c r="R54" s="74">
        <f>SUMIFS('Unos rashoda i izdataka'!$K$3:$K$504,'Unos rashoda i izdataka'!$C$3:$C$504,"=581",'Unos rashoda i izdataka'!$P$3:$P$504,"=45")+SUMIFS('Unos rashoda P4'!$I$3:$I$501,'Unos rashoda P4'!$A$3:$A$501,"=581",'Unos rashoda P4'!$S$3:$S$501,"=45")</f>
        <v>0</v>
      </c>
      <c r="S54" s="74">
        <f>SUMIFS('Unos rashoda i izdataka'!$K$3:$K$504,'Unos rashoda i izdataka'!$C$3:$C$504,"=61",'Unos rashoda i izdataka'!$P$3:$P$504,"=45")+SUMIFS('Unos rashoda P4'!$I$3:$I$501,'Unos rashoda P4'!$A$3:$A$501,"=61",'Unos rashoda P4'!$S$3:$S$501,"=45")</f>
        <v>0</v>
      </c>
      <c r="T54" s="74">
        <f>SUMIFS('Unos rashoda i izdataka'!$K$3:$K$504,'Unos rashoda i izdataka'!$C$3:$C$504,"=63",'Unos rashoda i izdataka'!$P$3:$P$504,"=45")+SUMIFS('Unos rashoda P4'!$I$3:$I$501,'Unos rashoda P4'!$A$3:$A$501,"=63",'Unos rashoda P4'!$S$3:$S$501,"=45")</f>
        <v>0</v>
      </c>
      <c r="U54" s="74">
        <f>SUMIFS('Unos rashoda i izdataka'!$K$3:$K$504,'Unos rashoda i izdataka'!$C$3:$C$504,"=71",'Unos rashoda i izdataka'!$P$3:$P$504,"=45")+SUMIFS('Unos rashoda P4'!$I$3:$I$501,'Unos rashoda P4'!$A$3:$A$501,"=71",'Unos rashoda P4'!$S$3:$S$501,"=45")</f>
        <v>0</v>
      </c>
      <c r="V54" s="74">
        <f>SUMIFS('Unos rashoda i izdataka'!$K$3:$K$504,'Unos rashoda i izdataka'!$C$3:$C$504,"=81",'Unos rashoda i izdataka'!$P$3:$P$504,"=45")+SUMIFS('Unos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00000000000006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5276</v>
      </c>
      <c r="C57" s="60">
        <f t="shared" ref="C57:C79" si="26">SUM(D57:V57)</f>
        <v>6544830</v>
      </c>
      <c r="D57" s="61">
        <f>D58+D74</f>
        <v>6079833</v>
      </c>
      <c r="E57" s="61">
        <f t="shared" ref="E57:V57" si="27">E58+E74</f>
        <v>0</v>
      </c>
      <c r="F57" s="61">
        <f t="shared" si="27"/>
        <v>32864</v>
      </c>
      <c r="G57" s="61">
        <f t="shared" si="27"/>
        <v>0</v>
      </c>
      <c r="H57" s="61">
        <f t="shared" si="27"/>
        <v>325261</v>
      </c>
      <c r="I57" s="61">
        <f t="shared" si="27"/>
        <v>17111</v>
      </c>
      <c r="J57" s="61">
        <f t="shared" si="27"/>
        <v>89261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500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6442638</v>
      </c>
      <c r="D58" s="68">
        <f>+D59+D64+D69+D70+D71+D72+D73</f>
        <v>6079833</v>
      </c>
      <c r="E58" s="68">
        <f t="shared" ref="E58" si="28">+E59+E64+E69+E70+E71+E72+E73</f>
        <v>0</v>
      </c>
      <c r="F58" s="68">
        <f t="shared" ref="F58" si="29">+F59+F64+F69+F70+F71+F72+F73</f>
        <v>23500</v>
      </c>
      <c r="G58" s="68">
        <f t="shared" ref="G58" si="30">+G59+G64+G69+G70+G71+G72+G73</f>
        <v>0</v>
      </c>
      <c r="H58" s="68">
        <f t="shared" ref="H58" si="31">+H59+H64+H69+H70+H71+H72+H73</f>
        <v>235396</v>
      </c>
      <c r="I58" s="68">
        <f t="shared" ref="I58" si="32">+I59+I64+I69+I70+I71+I72+I73</f>
        <v>14148</v>
      </c>
      <c r="J58" s="68">
        <f t="shared" ref="J58" si="33">+J59+J64+J69+J70+J71+J72+J73</f>
        <v>89261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500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5710983</v>
      </c>
      <c r="D59" s="74">
        <f>SUMIFS('Unos rashoda i izdataka'!$L$3:$L$504,'Unos rashoda i izdataka'!$C$3:$C$504,"=11",'Unos rashoda i izdataka'!$P$3:$P$504,"=31")+SUMIFS('Unos rashoda P4'!$J$3:$J$501,'Unos rashoda P4'!$A$3:$A$501,"=11",'Unos rashoda P4'!$S$3:$S$501,"=31")</f>
        <v>5643650</v>
      </c>
      <c r="E59" s="74">
        <f>SUMIFS('Unos rashoda i izdataka'!$L$3:$L$504,'Unos rashoda i izdataka'!$C$3:$C$504,"=12",'Unos rashoda i izdataka'!$P$3:$P$504,"=31")+SUMIFS('Unos rashoda P4'!$J$3:$J$501,'Unos rashoda P4'!$A$3:$A$501,"=12",'Unos rashoda P4'!$S$3:$S$501,"=31")</f>
        <v>0</v>
      </c>
      <c r="F59" s="74">
        <f>SUMIFS('Unos rashoda i izdataka'!$L$3:$L$504,'Unos rashoda i izdataka'!$C$3:$C$504,"=31",'Unos rashoda i izdataka'!$P$3:$P$504,"=31")+SUMIFS('Unos rashoda P4'!$J$3:$J$501,'Unos rashoda P4'!$A$3:$A$501,"=31",'Unos rashoda P4'!$S$3:$S$501,"=31")</f>
        <v>16000</v>
      </c>
      <c r="G59" s="74">
        <f>SUMIFS('Unos rashoda i izdataka'!$L$3:$L$504,'Unos rashoda i izdataka'!$C$3:$C$504,"=41",'Unos rashoda i izdataka'!$P$3:$P$504,"=31")+SUMIFS('Unos rashoda P4'!$J$3:$J$501,'Unos rashoda P4'!$A$3:$A$501,"=41",'Unos rashoda P4'!$S$3:$S$501,"=31")</f>
        <v>0</v>
      </c>
      <c r="H59" s="74">
        <f>SUMIFS('Unos rashoda i izdataka'!$L$3:$L$504,'Unos rashoda i izdataka'!$C$3:$C$504,"=43",'Unos rashoda i izdataka'!$P$3:$P$504,"=31")+SUMIFS('Unos rashoda P4'!$J$3:$J$501,'Unos rashoda P4'!$A$3:$A$501,"=43",'Unos rashoda P4'!$S$3:$S$501,"=31")</f>
        <v>51333</v>
      </c>
      <c r="I59" s="74">
        <f>SUMIFS('Unos rashoda i izdataka'!$L$3:$L$504,'Unos rashoda i izdataka'!$C$3:$C$504,"=51",'Unos rashoda i izdataka'!$P$3:$P$504,"=31")+SUMIFS('Unos rashoda P4'!$J$3:$J$501,'Unos rashoda P4'!$A$3:$A$501,"=51",'Unos rashoda P4'!$S$3:$S$501,"=31")</f>
        <v>0</v>
      </c>
      <c r="J59" s="74">
        <f>SUMIFS('Unos rashoda i izdataka'!$L$3:$L$504,'Unos rashoda i izdataka'!$C$3:$C$504,"=52",'Unos rashoda i izdataka'!$P$3:$P$504,"=31")+SUMIFS('Unos rashoda P4'!$J$3:$J$501,'Unos rashoda P4'!$A$3:$A$501,"=52",'Unos rashoda P4'!$S$3:$S$501,"=31")</f>
        <v>0</v>
      </c>
      <c r="K59" s="74">
        <f>SUMIFS('Unos rashoda i izdataka'!$L$3:$L$504,'Unos rashoda i izdataka'!$C$3:$C$504,"=552",'Unos rashoda i izdataka'!$P$3:$P$504,"=31")+SUMIFS('Unos rashoda P4'!$J$3:$J$501,'Unos rashoda P4'!$A$3:$A$501,"=552",'Unos rashoda P4'!$S$3:$S$501,"=31")</f>
        <v>0</v>
      </c>
      <c r="L59" s="74">
        <f>SUMIFS('Unos rashoda i izdataka'!$L$3:$L$504,'Unos rashoda i izdataka'!$C$3:$C$504,"=559",'Unos rashoda i izdataka'!$P$3:$P$504,"=31")+SUMIFS('Unos rashoda P4'!$J$3:$J$501,'Unos rashoda P4'!$A$3:$A$501,"=559",'Unos rashoda P4'!$S$3:$S$501,"=31")</f>
        <v>0</v>
      </c>
      <c r="M59" s="74">
        <f>SUMIFS('Unos rashoda i izdataka'!$L$3:$L$504,'Unos rashoda i izdataka'!$C$3:$C$504,"=561",'Unos rashoda i izdataka'!$P$3:$P$504,"=31")+SUMIFS('Unos rashoda P4'!$J$3:$J$501,'Unos rashoda P4'!$A$3:$A$501,"=561",'Unos rashoda P4'!$S$3:$S$501,"=31")</f>
        <v>0</v>
      </c>
      <c r="N59" s="74">
        <f>SUMIFS('Unos rashoda i izdataka'!$L$3:$L$504,'Unos rashoda i izdataka'!$C$3:$C$504,"=563",'Unos rashoda i izdataka'!$P$3:$P$504,"=31")+SUMIFS('Unos rashoda P4'!$J$3:$J$501,'Unos rashoda P4'!$A$3:$A$501,"=563",'Unos rashoda P4'!$S$3:$S$501,"=31")</f>
        <v>0</v>
      </c>
      <c r="O59" s="74">
        <f>SUMIFS('Unos rashoda i izdataka'!$L$3:$L$504,'Unos rashoda i izdataka'!$C$3:$C$504,"=573",'Unos rashoda i izdataka'!$P$3:$P$504,"=31")+SUMIFS('Unos rashoda P4'!$J$3:$J$501,'Unos rashoda P4'!$A$3:$A$501,"=573",'Unos rashoda P4'!$S$3:$S$501,"=31")</f>
        <v>0</v>
      </c>
      <c r="P59" s="74">
        <f>SUMIFS('Unos rashoda i izdataka'!$L$3:$L$504,'Unos rashoda i izdataka'!$C$3:$C$504,"=575",'Unos rashoda i izdataka'!$P$3:$P$504,"=31")+SUMIFS('Unos rashoda P4'!$J$3:$J$501,'Unos rashoda P4'!$A$3:$A$501,"=575",'Unos rashoda P4'!$S$3:$S$501,"=31")</f>
        <v>0</v>
      </c>
      <c r="Q59" s="74">
        <f>SUMIFS('Unos rashoda i izdataka'!$L$3:$L$504,'Unos rashoda i izdataka'!$Q$3:$Q$504,"=576",'Unos rashoda i izdataka'!$P$3:$P$504,"=31")+SUMIFS('Unos rashoda P4'!$J$3:$J$501,'Unos rashoda P4'!$A$3:$A$501,"=576",'Unos rashoda P4'!$S$3:$S$501,"=31")</f>
        <v>0</v>
      </c>
      <c r="R59" s="74">
        <f>SUMIFS('Unos rashoda i izdataka'!$L$3:$L$504,'Unos rashoda i izdataka'!$C$3:$C$504,"=581",'Unos rashoda i izdataka'!$P$3:$P$504,"=31")+SUMIFS('Unos rashoda P4'!$J$3:$J$501,'Unos rashoda P4'!$A$3:$A$501,"=581",'Unos rashoda P4'!$S$3:$S$501,"=31")</f>
        <v>0</v>
      </c>
      <c r="S59" s="74">
        <f>SUMIFS('Unos rashoda i izdataka'!$L$3:$L$504,'Unos rashoda i izdataka'!$C$3:$C$504,"=61",'Unos rashoda i izdataka'!$P$3:$P$504,"=31")+SUMIFS('Unos rashoda P4'!$J$3:$J$501,'Unos rashoda P4'!$A$3:$A$501,"=61",'Unos rashoda P4'!$S$3:$S$501,"=31")</f>
        <v>0</v>
      </c>
      <c r="T59" s="74">
        <f>SUMIFS('Unos rashoda i izdataka'!$L$3:$L$504,'Unos rashoda i izdataka'!$C$3:$C$504,"=63",'Unos rashoda i izdataka'!$P$3:$P$504,"=31")+SUMIFS('Unos rashoda P4'!$J$3:$J$501,'Unos rashoda P4'!$A$3:$A$501,"=63",'Unos rashoda P4'!$S$3:$S$501,"=31")</f>
        <v>0</v>
      </c>
      <c r="U59" s="74">
        <f>SUMIFS('Unos rashoda i izdataka'!$L$3:$L$504,'Unos rashoda i izdataka'!$C$3:$C$504,"=71",'Unos rashoda i izdataka'!$P$3:$P$504,"=31")+SUMIFS('Unos rashoda P4'!$J$3:$J$501,'Unos rashoda P4'!$A$3:$A$501,"=71",'Unos rashoda P4'!$S$3:$S$501,"=31")</f>
        <v>0</v>
      </c>
      <c r="V59" s="74">
        <f>SUMIFS('Unos rashoda i izdataka'!$L$3:$L$504,'Unos rashoda i izdataka'!$C$3:$C$504,"=81",'Unos rashoda i izdataka'!$P$3:$P$504,"=31")+SUMIFS('Unos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729587</v>
      </c>
      <c r="D64" s="74">
        <f>SUMIFS('Unos rashoda i izdataka'!$L$3:$L$504,'Unos rashoda i izdataka'!$C$3:$C$504,"=11",'Unos rashoda i izdataka'!$P$3:$P$504,"=32")+SUMIFS('Unos rashoda P4'!$J$3:$J$501,'Unos rashoda P4'!$A$3:$A$501,"=11",'Unos rashoda P4'!$S$3:$S$501,"=32")</f>
        <v>436183</v>
      </c>
      <c r="E64" s="74">
        <f>SUMIFS('Unos rashoda i izdataka'!$L$3:$L$504,'Unos rashoda i izdataka'!$C$3:$C$504,"=12",'Unos rashoda i izdataka'!$P$3:$P$504,"=32")+SUMIFS('Unos rashoda P4'!$J$3:$J$501,'Unos rashoda P4'!$A$3:$A$501,"=12",'Unos rashoda P4'!$S$3:$S$501,"=32")</f>
        <v>0</v>
      </c>
      <c r="F64" s="74">
        <f>SUMIFS('Unos rashoda i izdataka'!$L$3:$L$504,'Unos rashoda i izdataka'!$C$3:$C$504,"=31",'Unos rashoda i izdataka'!$P$3:$P$504,"=32")+SUMIFS('Unos rashoda P4'!$J$3:$J$501,'Unos rashoda P4'!$A$3:$A$501,"=31",'Unos rashoda P4'!$S$3:$S$501,"=32")</f>
        <v>7500</v>
      </c>
      <c r="G64" s="74">
        <f>SUMIFS('Unos rashoda i izdataka'!$L$3:$L$504,'Unos rashoda i izdataka'!$C$3:$C$504,"=41",'Unos rashoda i izdataka'!$P$3:$P$504,"=32")+SUMIFS('Unos rashoda P4'!$J$3:$J$501,'Unos rashoda P4'!$A$3:$A$501,"=41",'Unos rashoda P4'!$S$3:$S$501,"=32")</f>
        <v>0</v>
      </c>
      <c r="H64" s="74">
        <f>SUMIFS('Unos rashoda i izdataka'!$L$3:$L$504,'Unos rashoda i izdataka'!$C$3:$C$504,"=43",'Unos rashoda i izdataka'!$P$3:$P$504,"=32")+SUMIFS('Unos rashoda P4'!$J$3:$J$501,'Unos rashoda P4'!$A$3:$A$501,"=43",'Unos rashoda P4'!$S$3:$S$501,"=32")</f>
        <v>181995</v>
      </c>
      <c r="I64" s="74">
        <f>SUMIFS('Unos rashoda i izdataka'!$L$3:$L$504,'Unos rashoda i izdataka'!$C$3:$C$504,"=51",'Unos rashoda i izdataka'!$P$3:$P$504,"=32")+SUMIFS('Unos rashoda P4'!$J$3:$J$501,'Unos rashoda P4'!$A$3:$A$501,"=51",'Unos rashoda P4'!$S$3:$S$501,"=32")</f>
        <v>14148</v>
      </c>
      <c r="J64" s="74">
        <f>SUMIFS('Unos rashoda i izdataka'!$L$3:$L$504,'Unos rashoda i izdataka'!$C$3:$C$504,"=52",'Unos rashoda i izdataka'!$P$3:$P$504,"=32")+SUMIFS('Unos rashoda P4'!$J$3:$J$501,'Unos rashoda P4'!$A$3:$A$501,"=52",'Unos rashoda P4'!$S$3:$S$501,"=32")</f>
        <v>89261</v>
      </c>
      <c r="K64" s="74">
        <f>SUMIFS('Unos rashoda i izdataka'!$L$3:$L$504,'Unos rashoda i izdataka'!$C$3:$C$504,"=552",'Unos rashoda i izdataka'!$P$3:$P$504,"=32")+SUMIFS('Unos rashoda P4'!$J$3:$J$501,'Unos rashoda P4'!$A$3:$A$501,"=552",'Unos rashoda P4'!$S$3:$S$501,"=32")</f>
        <v>0</v>
      </c>
      <c r="L64" s="74">
        <f>SUMIFS('Unos rashoda i izdataka'!$L$3:$L$504,'Unos rashoda i izdataka'!$C$3:$C$504,"=559",'Unos rashoda i izdataka'!$P$3:$P$504,"=32")+SUMIFS('Unos rashoda P4'!$J$3:$J$501,'Unos rashoda P4'!$A$3:$A$501,"=559",'Unos rashoda P4'!$S$3:$S$501,"=32")</f>
        <v>0</v>
      </c>
      <c r="M64" s="74">
        <f>SUMIFS('Unos rashoda i izdataka'!$L$3:$L$504,'Unos rashoda i izdataka'!$C$3:$C$504,"=561",'Unos rashoda i izdataka'!$P$3:$P$504,"=32")+SUMIFS('Unos rashoda P4'!$J$3:$J$501,'Unos rashoda P4'!$A$3:$A$501,"=561",'Unos rashoda P4'!$S$3:$S$501,"=32")</f>
        <v>0</v>
      </c>
      <c r="N64" s="74">
        <f>SUMIFS('Unos rashoda i izdataka'!$L$3:$L$504,'Unos rashoda i izdataka'!$C$3:$C$504,"=563",'Unos rashoda i izdataka'!$P$3:$P$504,"=32")+SUMIFS('Unos rashoda P4'!$J$3:$J$501,'Unos rashoda P4'!$A$3:$A$501,"=563",'Unos rashoda P4'!$S$3:$S$501,"=32")</f>
        <v>0</v>
      </c>
      <c r="O64" s="74">
        <f>SUMIFS('Unos rashoda i izdataka'!$L$3:$L$504,'Unos rashoda i izdataka'!$C$3:$C$504,"=573",'Unos rashoda i izdataka'!$P$3:$P$504,"=32")+SUMIFS('Unos rashoda P4'!$J$3:$J$501,'Unos rashoda P4'!$A$3:$A$501,"=573",'Unos rashoda P4'!$S$3:$S$501,"=32")</f>
        <v>0</v>
      </c>
      <c r="P64" s="74">
        <f>SUMIFS('Unos rashoda i izdataka'!$L$3:$L$504,'Unos rashoda i izdataka'!$C$3:$C$504,"=575",'Unos rashoda i izdataka'!$P$3:$P$504,"=32")+SUMIFS('Unos rashoda P4'!$J$3:$J$501,'Unos rashoda P4'!$A$3:$A$501,"=575",'Unos rashoda P4'!$S$3:$S$501,"=32")</f>
        <v>0</v>
      </c>
      <c r="Q64" s="74">
        <f>SUMIFS('Unos rashoda i izdataka'!$L$3:$L$504,'Unos rashoda i izdataka'!$Q$3:$Q$504,"=576",'Unos rashoda i izdataka'!$P$3:$P$504,"=32")+SUMIFS('Unos rashoda P4'!$J$3:$J$501,'Unos rashoda P4'!$A$3:$A$501,"=576",'Unos rashoda P4'!$S$3:$S$501,"=32")</f>
        <v>0</v>
      </c>
      <c r="R64" s="74">
        <f>SUMIFS('Unos rashoda i izdataka'!$L$3:$L$504,'Unos rashoda i izdataka'!$C$3:$C$504,"=581",'Unos rashoda i izdataka'!$P$3:$P$504,"=32")+SUMIFS('Unos rashoda P4'!$J$3:$J$501,'Unos rashoda P4'!$A$3:$A$501,"=581",'Unos rashoda P4'!$S$3:$S$501,"=32")</f>
        <v>0</v>
      </c>
      <c r="S64" s="74">
        <f>SUMIFS('Unos rashoda i izdataka'!$L$3:$L$504,'Unos rashoda i izdataka'!$C$3:$C$504,"=61",'Unos rashoda i izdataka'!$P$3:$P$504,"=32")+SUMIFS('Unos rashoda P4'!$J$3:$J$501,'Unos rashoda P4'!$A$3:$A$501,"=61",'Unos rashoda P4'!$S$3:$S$501,"=32")</f>
        <v>500</v>
      </c>
      <c r="T64" s="74">
        <f>SUMIFS('Unos rashoda i izdataka'!$L$3:$L$504,'Unos rashoda i izdataka'!$C$3:$C$504,"=63",'Unos rashoda i izdataka'!$P$3:$P$504,"=32")+SUMIFS('Unos rashoda P4'!$J$3:$J$501,'Unos rashoda P4'!$A$3:$A$501,"=63",'Unos rashoda P4'!$S$3:$S$501,"=32")</f>
        <v>0</v>
      </c>
      <c r="U64" s="74">
        <f>SUMIFS('Unos rashoda i izdataka'!$L$3:$L$504,'Unos rashoda i izdataka'!$C$3:$C$504,"=71",'Unos rashoda i izdataka'!$P$3:$P$504,"=32")+SUMIFS('Unos rashoda P4'!$J$3:$J$501,'Unos rashoda P4'!$A$3:$A$501,"=71",'Unos rashoda P4'!$S$3:$S$501,"=32")</f>
        <v>0</v>
      </c>
      <c r="V64" s="74">
        <f>SUMIFS('Unos rashoda i izdataka'!$L$3:$L$504,'Unos rashoda i izdataka'!$C$3:$C$504,"=81",'Unos rashoda i izdataka'!$P$3:$P$504,"=32")+SUMIFS('Unos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2068</v>
      </c>
      <c r="D69" s="74">
        <f>SUMIFS('Unos rashoda i izdataka'!$L$3:$L$504,'Unos rashoda i izdataka'!$C$3:$C$504,"=11",'Unos rashoda i izdataka'!$P$3:$P$504,"=34")+SUMIFS('Unos rashoda P4'!$J$3:$J$501,'Unos rashoda P4'!$A$3:$A$501,"=11",'Unos rashoda P4'!$S$3:$S$501,"=34")</f>
        <v>0</v>
      </c>
      <c r="E69" s="74">
        <f>SUMIFS('Unos rashoda i izdataka'!$L$3:$L$504,'Unos rashoda i izdataka'!$C$3:$C$504,"=12",'Unos rashoda i izdataka'!$P$3:$P$504,"=34")+SUMIFS('Unos rashoda P4'!$J$3:$J$501,'Unos rashoda P4'!$A$3:$A$501,"=12",'Unos rashoda P4'!$S$3:$S$501,"=34")</f>
        <v>0</v>
      </c>
      <c r="F69" s="74">
        <f>SUMIFS('Unos rashoda i izdataka'!$L$3:$L$504,'Unos rashoda i izdataka'!$C$3:$C$504,"=31",'Unos rashoda i izdataka'!$P$3:$P$504,"=34")+SUMIFS('Unos rashoda P4'!$J$3:$J$501,'Unos rashoda P4'!$A$3:$A$501,"=31",'Unos rashoda P4'!$S$3:$S$501,"=34")</f>
        <v>0</v>
      </c>
      <c r="G69" s="74">
        <f>SUMIFS('Unos rashoda i izdataka'!$L$3:$L$504,'Unos rashoda i izdataka'!$C$3:$C$504,"=41",'Unos rashoda i izdataka'!$P$3:$P$504,"=34")+SUMIFS('Unos rashoda P4'!$J$3:$J$501,'Unos rashoda P4'!$A$3:$A$501,"=41",'Unos rashoda P4'!$S$3:$S$501,"=34")</f>
        <v>0</v>
      </c>
      <c r="H69" s="74">
        <f>SUMIFS('Unos rashoda i izdataka'!$L$3:$L$504,'Unos rashoda i izdataka'!$C$3:$C$504,"=43",'Unos rashoda i izdataka'!$P$3:$P$504,"=34")+SUMIFS('Unos rashoda P4'!$J$3:$J$501,'Unos rashoda P4'!$A$3:$A$501,"=43",'Unos rashoda P4'!$S$3:$S$501,"=34")</f>
        <v>2068</v>
      </c>
      <c r="I69" s="74">
        <f>SUMIFS('Unos rashoda i izdataka'!$L$3:$L$504,'Unos rashoda i izdataka'!$C$3:$C$504,"=51",'Unos rashoda i izdataka'!$P$3:$P$504,"=34")+SUMIFS('Unos rashoda P4'!$J$3:$J$501,'Unos rashoda P4'!$A$3:$A$501,"=51",'Unos rashoda P4'!$S$3:$S$501,"=34")</f>
        <v>0</v>
      </c>
      <c r="J69" s="74">
        <f>SUMIFS('Unos rashoda i izdataka'!$L$3:$L$504,'Unos rashoda i izdataka'!$C$3:$C$504,"=52",'Unos rashoda i izdataka'!$P$3:$P$504,"=34")+SUMIFS('Unos rashoda P4'!$J$3:$J$501,'Unos rashoda P4'!$A$3:$A$501,"=52",'Unos rashoda P4'!$S$3:$S$501,"=34")</f>
        <v>0</v>
      </c>
      <c r="K69" s="74">
        <f>SUMIFS('Unos rashoda i izdataka'!$L$3:$L$504,'Unos rashoda i izdataka'!$C$3:$C$504,"=552",'Unos rashoda i izdataka'!$P$3:$P$504,"=34")+SUMIFS('Unos rashoda P4'!$J$3:$J$501,'Unos rashoda P4'!$A$3:$A$501,"=552",'Unos rashoda P4'!$S$3:$S$501,"=34")</f>
        <v>0</v>
      </c>
      <c r="L69" s="74">
        <f>SUMIFS('Unos rashoda i izdataka'!$L$3:$L$504,'Unos rashoda i izdataka'!$C$3:$C$504,"=559",'Unos rashoda i izdataka'!$P$3:$P$504,"=34")+SUMIFS('Unos rashoda P4'!$J$3:$J$501,'Unos rashoda P4'!$A$3:$A$501,"=559",'Unos rashoda P4'!$S$3:$S$501,"=34")</f>
        <v>0</v>
      </c>
      <c r="M69" s="74">
        <f>SUMIFS('Unos rashoda i izdataka'!$L$3:$L$504,'Unos rashoda i izdataka'!$C$3:$C$504,"=561",'Unos rashoda i izdataka'!$P$3:$P$504,"=34")+SUMIFS('Unos rashoda P4'!$J$3:$J$501,'Unos rashoda P4'!$A$3:$A$501,"=561",'Unos rashoda P4'!$S$3:$S$501,"=34")</f>
        <v>0</v>
      </c>
      <c r="N69" s="74">
        <f>SUMIFS('Unos rashoda i izdataka'!$L$3:$L$504,'Unos rashoda i izdataka'!$C$3:$C$504,"=563",'Unos rashoda i izdataka'!$P$3:$P$504,"=34")+SUMIFS('Unos rashoda P4'!$J$3:$J$501,'Unos rashoda P4'!$A$3:$A$501,"=563",'Unos rashoda P4'!$S$3:$S$501,"=34")</f>
        <v>0</v>
      </c>
      <c r="O69" s="74">
        <f>SUMIFS('Unos rashoda i izdataka'!$L$3:$L$504,'Unos rashoda i izdataka'!$C$3:$C$504,"=573",'Unos rashoda i izdataka'!$P$3:$P$504,"=34")+SUMIFS('Unos rashoda P4'!$J$3:$J$501,'Unos rashoda P4'!$A$3:$A$501,"=573",'Unos rashoda P4'!$S$3:$S$501,"=34")</f>
        <v>0</v>
      </c>
      <c r="P69" s="74">
        <f>SUMIFS('Unos rashoda i izdataka'!$L$3:$L$504,'Unos rashoda i izdataka'!$C$3:$C$504,"=575",'Unos rashoda i izdataka'!$P$3:$P$504,"=34")+SUMIFS('Unos rashoda P4'!$J$3:$J$501,'Unos rashoda P4'!$A$3:$A$501,"=575",'Unos rashoda P4'!$S$3:$S$501,"=34")</f>
        <v>0</v>
      </c>
      <c r="Q69" s="74">
        <f>SUMIFS('Unos rashoda i izdataka'!$L$3:$L$504,'Unos rashoda i izdataka'!$Q$3:$Q$504,"=576",'Unos rashoda i izdataka'!$P$3:$P$504,"=34")+SUMIFS('Unos rashoda P4'!$J$3:$J$501,'Unos rashoda P4'!$A$3:$A$501,"=576",'Unos rashoda P4'!$S$3:$S$501,"=34")</f>
        <v>0</v>
      </c>
      <c r="R69" s="74">
        <f>SUMIFS('Unos rashoda i izdataka'!$L$3:$L$504,'Unos rashoda i izdataka'!$C$3:$C$504,"=581",'Unos rashoda i izdataka'!$P$3:$P$504,"=34")+SUMIFS('Unos rashoda P4'!$J$3:$J$501,'Unos rashoda P4'!$A$3:$A$501,"=581",'Unos rashoda P4'!$S$3:$S$501,"=34")</f>
        <v>0</v>
      </c>
      <c r="S69" s="74">
        <f>SUMIFS('Unos rashoda i izdataka'!$L$3:$L$504,'Unos rashoda i izdataka'!$C$3:$C$504,"=61",'Unos rashoda i izdataka'!$P$3:$P$504,"=34")+SUMIFS('Unos rashoda P4'!$J$3:$J$501,'Unos rashoda P4'!$A$3:$A$501,"=61",'Unos rashoda P4'!$S$3:$S$501,"=34")</f>
        <v>0</v>
      </c>
      <c r="T69" s="74">
        <f>SUMIFS('Unos rashoda i izdataka'!$L$3:$L$504,'Unos rashoda i izdataka'!$C$3:$C$504,"=63",'Unos rashoda i izdataka'!$P$3:$P$504,"=34")+SUMIFS('Unos rashoda P4'!$J$3:$J$501,'Unos rashoda P4'!$A$3:$A$501,"=63",'Unos rashoda P4'!$S$3:$S$501,"=34")</f>
        <v>0</v>
      </c>
      <c r="U69" s="74">
        <f>SUMIFS('Unos rashoda i izdataka'!$L$3:$L$504,'Unos rashoda i izdataka'!$C$3:$C$504,"=71",'Unos rashoda i izdataka'!$P$3:$P$504,"=34")+SUMIFS('Unos rashoda P4'!$J$3:$J$501,'Unos rashoda P4'!$A$3:$A$501,"=71",'Unos rashoda P4'!$S$3:$S$501,"=34")</f>
        <v>0</v>
      </c>
      <c r="V69" s="74">
        <f>SUMIFS('Unos rashoda i izdataka'!$L$3:$L$504,'Unos rashoda i izdataka'!$C$3:$C$504,"=81",'Unos rashoda i izdataka'!$P$3:$P$504,"=34")+SUMIFS('Unos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izdataka'!$L$3:$L$504,'Unos rashoda i izdataka'!$C$3:$C$504,"=11",'Unos rashoda i izdataka'!$P$3:$P$504,"=35")+SUMIFS('Unos rashoda P4'!$J$3:$J$501,'Unos rashoda P4'!$A$3:$A$501,"=11",'Unos rashoda P4'!$S$3:$S$501,"=35")</f>
        <v>0</v>
      </c>
      <c r="E70" s="74">
        <f>SUMIFS('Unos rashoda i izdataka'!$L$3:$L$504,'Unos rashoda i izdataka'!$C$3:$C$504,"=12",'Unos rashoda i izdataka'!$P$3:$P$504,"=35")+SUMIFS('Unos rashoda P4'!$J$3:$J$501,'Unos rashoda P4'!$A$3:$A$501,"=12",'Unos rashoda P4'!$S$3:$S$501,"=35")</f>
        <v>0</v>
      </c>
      <c r="F70" s="74">
        <f>SUMIFS('Unos rashoda i izdataka'!$L$3:$L$504,'Unos rashoda i izdataka'!$C$3:$C$504,"=31",'Unos rashoda i izdataka'!$P$3:$P$504,"=35")+SUMIFS('Unos rashoda P4'!$J$3:$J$501,'Unos rashoda P4'!$A$3:$A$501,"=31",'Unos rashoda P4'!$S$3:$S$501,"=35")</f>
        <v>0</v>
      </c>
      <c r="G70" s="74">
        <f>SUMIFS('Unos rashoda i izdataka'!$L$3:$L$504,'Unos rashoda i izdataka'!$C$3:$C$504,"=41",'Unos rashoda i izdataka'!$P$3:$P$504,"=35")+SUMIFS('Unos rashoda P4'!$J$3:$J$501,'Unos rashoda P4'!$A$3:$A$501,"=41",'Unos rashoda P4'!$S$3:$S$501,"=35")</f>
        <v>0</v>
      </c>
      <c r="H70" s="74">
        <f>SUMIFS('Unos rashoda i izdataka'!$L$3:$L$504,'Unos rashoda i izdataka'!$C$3:$C$504,"=43",'Unos rashoda i izdataka'!$P$3:$P$504,"=35")+SUMIFS('Unos rashoda P4'!$J$3:$J$501,'Unos rashoda P4'!$A$3:$A$501,"=43",'Unos rashoda P4'!$S$3:$S$501,"=35")</f>
        <v>0</v>
      </c>
      <c r="I70" s="74">
        <f>SUMIFS('Unos rashoda i izdataka'!$L$3:$L$504,'Unos rashoda i izdataka'!$C$3:$C$504,"=51",'Unos rashoda i izdataka'!$P$3:$P$504,"=35")+SUMIFS('Unos rashoda P4'!$J$3:$J$501,'Unos rashoda P4'!$A$3:$A$501,"=51",'Unos rashoda P4'!$S$3:$S$501,"=35")</f>
        <v>0</v>
      </c>
      <c r="J70" s="74">
        <f>SUMIFS('Unos rashoda i izdataka'!$L$3:$L$504,'Unos rashoda i izdataka'!$C$3:$C$504,"=52",'Unos rashoda i izdataka'!$P$3:$P$504,"=35")+SUMIFS('Unos rashoda P4'!$J$3:$J$501,'Unos rashoda P4'!$A$3:$A$501,"=52",'Unos rashoda P4'!$S$3:$S$501,"=35")</f>
        <v>0</v>
      </c>
      <c r="K70" s="74">
        <f>SUMIFS('Unos rashoda i izdataka'!$L$3:$L$504,'Unos rashoda i izdataka'!$C$3:$C$504,"=552",'Unos rashoda i izdataka'!$P$3:$P$504,"=35")+SUMIFS('Unos rashoda P4'!$J$3:$J$501,'Unos rashoda P4'!$A$3:$A$501,"=552",'Unos rashoda P4'!$S$3:$S$501,"=35")</f>
        <v>0</v>
      </c>
      <c r="L70" s="74">
        <f>SUMIFS('Unos rashoda i izdataka'!$L$3:$L$504,'Unos rashoda i izdataka'!$C$3:$C$504,"=559",'Unos rashoda i izdataka'!$P$3:$P$504,"=35")+SUMIFS('Unos rashoda P4'!$J$3:$J$501,'Unos rashoda P4'!$A$3:$A$501,"=559",'Unos rashoda P4'!$S$3:$S$501,"=35")</f>
        <v>0</v>
      </c>
      <c r="M70" s="74">
        <f>SUMIFS('Unos rashoda i izdataka'!$L$3:$L$504,'Unos rashoda i izdataka'!$C$3:$C$504,"=561",'Unos rashoda i izdataka'!$P$3:$P$504,"=35")+SUMIFS('Unos rashoda P4'!$J$3:$J$501,'Unos rashoda P4'!$A$3:$A$501,"=561",'Unos rashoda P4'!$S$3:$S$501,"=35")</f>
        <v>0</v>
      </c>
      <c r="N70" s="74">
        <f>SUMIFS('Unos rashoda i izdataka'!$L$3:$L$504,'Unos rashoda i izdataka'!$C$3:$C$504,"=563",'Unos rashoda i izdataka'!$P$3:$P$504,"=35")+SUMIFS('Unos rashoda P4'!$J$3:$J$501,'Unos rashoda P4'!$A$3:$A$501,"=563",'Unos rashoda P4'!$S$3:$S$501,"=35")</f>
        <v>0</v>
      </c>
      <c r="O70" s="74">
        <f>SUMIFS('Unos rashoda i izdataka'!$L$3:$L$504,'Unos rashoda i izdataka'!$C$3:$C$504,"=573",'Unos rashoda i izdataka'!$P$3:$P$504,"=35")+SUMIFS('Unos rashoda P4'!$J$3:$J$501,'Unos rashoda P4'!$A$3:$A$501,"=573",'Unos rashoda P4'!$S$3:$S$501,"=35")</f>
        <v>0</v>
      </c>
      <c r="P70" s="74">
        <f>SUMIFS('Unos rashoda i izdataka'!$L$3:$L$504,'Unos rashoda i izdataka'!$C$3:$C$504,"=575",'Unos rashoda i izdataka'!$P$3:$P$504,"=35")+SUMIFS('Unos rashoda P4'!$J$3:$J$501,'Unos rashoda P4'!$A$3:$A$501,"=575",'Unos rashoda P4'!$S$3:$S$501,"=35")</f>
        <v>0</v>
      </c>
      <c r="Q70" s="74">
        <f>SUMIFS('Unos rashoda i izdataka'!$L$3:$L$504,'Unos rashoda i izdataka'!$Q$3:$Q$504,"=576",'Unos rashoda i izdataka'!$P$3:$P$504,"=35")+SUMIFS('Unos rashoda P4'!$J$3:$J$501,'Unos rashoda P4'!$A$3:$A$501,"=576",'Unos rashoda P4'!$S$3:$S$501,"=35")</f>
        <v>0</v>
      </c>
      <c r="R70" s="74">
        <f>SUMIFS('Unos rashoda i izdataka'!$L$3:$L$504,'Unos rashoda i izdataka'!$C$3:$C$504,"=581",'Unos rashoda i izdataka'!$P$3:$P$504,"=35")+SUMIFS('Unos rashoda P4'!$J$3:$J$501,'Unos rashoda P4'!$A$3:$A$501,"=581",'Unos rashoda P4'!$S$3:$S$501,"=35")</f>
        <v>0</v>
      </c>
      <c r="S70" s="74">
        <f>SUMIFS('Unos rashoda i izdataka'!$L$3:$L$504,'Unos rashoda i izdataka'!$C$3:$C$504,"=61",'Unos rashoda i izdataka'!$P$3:$P$504,"=35")+SUMIFS('Unos rashoda P4'!$J$3:$J$501,'Unos rashoda P4'!$A$3:$A$501,"=61",'Unos rashoda P4'!$S$3:$S$501,"=35")</f>
        <v>0</v>
      </c>
      <c r="T70" s="74">
        <f>SUMIFS('Unos rashoda i izdataka'!$L$3:$L$504,'Unos rashoda i izdataka'!$C$3:$C$504,"=63",'Unos rashoda i izdataka'!$P$3:$P$504,"=35")+SUMIFS('Unos rashoda P4'!$J$3:$J$501,'Unos rashoda P4'!$A$3:$A$501,"=63",'Unos rashoda P4'!$S$3:$S$501,"=35")</f>
        <v>0</v>
      </c>
      <c r="U70" s="74">
        <f>SUMIFS('Unos rashoda i izdataka'!$L$3:$L$504,'Unos rashoda i izdataka'!$C$3:$C$504,"=71",'Unos rashoda i izdataka'!$P$3:$P$504,"=35")+SUMIFS('Unos rashoda P4'!$J$3:$J$501,'Unos rashoda P4'!$A$3:$A$501,"=71",'Unos rashoda P4'!$S$3:$S$501,"=35")</f>
        <v>0</v>
      </c>
      <c r="V70" s="74">
        <f>SUMIFS('Unos rashoda i izdataka'!$L$3:$L$504,'Unos rashoda i izdataka'!$C$3:$C$504,"=81",'Unos rashoda i izdataka'!$P$3:$P$504,"=35")+SUMIFS('Unos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izdataka'!$L$3:$L$504,'Unos rashoda i izdataka'!$C$3:$C$504,"=11",'Unos rashoda i izdataka'!$P$3:$P$504,"=36")+SUMIFS('Unos rashoda P4'!$J$3:$J$501,'Unos rashoda P4'!$A$3:$A$501,"=11",'Unos rashoda P4'!$S$3:$S$501,"=36")</f>
        <v>0</v>
      </c>
      <c r="E71" s="74">
        <f>SUMIFS('Unos rashoda i izdataka'!$L$3:$L$504,'Unos rashoda i izdataka'!$C$3:$C$504,"=12",'Unos rashoda i izdataka'!$P$3:$P$504,"=36")+SUMIFS('Unos rashoda P4'!$J$3:$J$501,'Unos rashoda P4'!$A$3:$A$501,"=12",'Unos rashoda P4'!$S$3:$S$501,"=36")</f>
        <v>0</v>
      </c>
      <c r="F71" s="74">
        <f>SUMIFS('Unos rashoda i izdataka'!$L$3:$L$504,'Unos rashoda i izdataka'!$C$3:$C$504,"=31",'Unos rashoda i izdataka'!$P$3:$P$504,"=36")+SUMIFS('Unos rashoda P4'!$J$3:$J$501,'Unos rashoda P4'!$A$3:$A$501,"=31",'Unos rashoda P4'!$S$3:$S$501,"=36")</f>
        <v>0</v>
      </c>
      <c r="G71" s="74">
        <f>SUMIFS('Unos rashoda i izdataka'!$L$3:$L$504,'Unos rashoda i izdataka'!$C$3:$C$504,"=41",'Unos rashoda i izdataka'!$P$3:$P$504,"=36")+SUMIFS('Unos rashoda P4'!$J$3:$J$501,'Unos rashoda P4'!$A$3:$A$501,"=41",'Unos rashoda P4'!$S$3:$S$501,"=36")</f>
        <v>0</v>
      </c>
      <c r="H71" s="74">
        <f>SUMIFS('Unos rashoda i izdataka'!$L$3:$L$504,'Unos rashoda i izdataka'!$C$3:$C$504,"=43",'Unos rashoda i izdataka'!$P$3:$P$504,"=36")+SUMIFS('Unos rashoda P4'!$J$3:$J$501,'Unos rashoda P4'!$A$3:$A$501,"=43",'Unos rashoda P4'!$S$3:$S$501,"=36")</f>
        <v>0</v>
      </c>
      <c r="I71" s="74">
        <f>SUMIFS('Unos rashoda i izdataka'!$L$3:$L$504,'Unos rashoda i izdataka'!$C$3:$C$504,"=51",'Unos rashoda i izdataka'!$P$3:$P$504,"=36")+SUMIFS('Unos rashoda P4'!$J$3:$J$501,'Unos rashoda P4'!$A$3:$A$501,"=51",'Unos rashoda P4'!$S$3:$S$501,"=36")</f>
        <v>0</v>
      </c>
      <c r="J71" s="74">
        <f>SUMIFS('Unos rashoda i izdataka'!$L$3:$L$504,'Unos rashoda i izdataka'!$C$3:$C$504,"=52",'Unos rashoda i izdataka'!$P$3:$P$504,"=36")+SUMIFS('Unos rashoda P4'!$J$3:$J$501,'Unos rashoda P4'!$A$3:$A$501,"=52",'Unos rashoda P4'!$S$3:$S$501,"=36")</f>
        <v>0</v>
      </c>
      <c r="K71" s="74">
        <f>SUMIFS('Unos rashoda i izdataka'!$L$3:$L$504,'Unos rashoda i izdataka'!$C$3:$C$504,"=552",'Unos rashoda i izdataka'!$P$3:$P$504,"=36")+SUMIFS('Unos rashoda P4'!$J$3:$J$501,'Unos rashoda P4'!$A$3:$A$501,"=552",'Unos rashoda P4'!$S$3:$S$501,"=36")</f>
        <v>0</v>
      </c>
      <c r="L71" s="74">
        <f>SUMIFS('Unos rashoda i izdataka'!$L$3:$L$504,'Unos rashoda i izdataka'!$C$3:$C$504,"=559",'Unos rashoda i izdataka'!$P$3:$P$504,"=36")+SUMIFS('Unos rashoda P4'!$J$3:$J$501,'Unos rashoda P4'!$A$3:$A$501,"=559",'Unos rashoda P4'!$S$3:$S$501,"=36")</f>
        <v>0</v>
      </c>
      <c r="M71" s="74">
        <f>SUMIFS('Unos rashoda i izdataka'!$L$3:$L$504,'Unos rashoda i izdataka'!$C$3:$C$504,"=561",'Unos rashoda i izdataka'!$P$3:$P$504,"=36")+SUMIFS('Unos rashoda P4'!$J$3:$J$501,'Unos rashoda P4'!$A$3:$A$501,"=561",'Unos rashoda P4'!$S$3:$S$501,"=36")</f>
        <v>0</v>
      </c>
      <c r="N71" s="74">
        <f>SUMIFS('Unos rashoda i izdataka'!$L$3:$L$504,'Unos rashoda i izdataka'!$C$3:$C$504,"=563",'Unos rashoda i izdataka'!$P$3:$P$504,"=36")+SUMIFS('Unos rashoda P4'!$J$3:$J$501,'Unos rashoda P4'!$A$3:$A$501,"=563",'Unos rashoda P4'!$S$3:$S$501,"=36")</f>
        <v>0</v>
      </c>
      <c r="O71" s="74">
        <f>SUMIFS('Unos rashoda i izdataka'!$L$3:$L$504,'Unos rashoda i izdataka'!$C$3:$C$504,"=573",'Unos rashoda i izdataka'!$P$3:$P$504,"=36")+SUMIFS('Unos rashoda P4'!$J$3:$J$501,'Unos rashoda P4'!$A$3:$A$501,"=573",'Unos rashoda P4'!$S$3:$S$501,"=36")</f>
        <v>0</v>
      </c>
      <c r="P71" s="74">
        <f>SUMIFS('Unos rashoda i izdataka'!$L$3:$L$504,'Unos rashoda i izdataka'!$C$3:$C$504,"=575",'Unos rashoda i izdataka'!$P$3:$P$504,"=36")+SUMIFS('Unos rashoda P4'!$J$3:$J$501,'Unos rashoda P4'!$A$3:$A$501,"=575",'Unos rashoda P4'!$S$3:$S$501,"=36")</f>
        <v>0</v>
      </c>
      <c r="Q71" s="74">
        <f>SUMIFS('Unos rashoda i izdataka'!$L$3:$L$504,'Unos rashoda i izdataka'!$Q$3:$Q$504,"=576",'Unos rashoda i izdataka'!$P$3:$P$504,"=36")+SUMIFS('Unos rashoda P4'!$J$3:$J$501,'Unos rashoda P4'!$A$3:$A$501,"=576",'Unos rashoda P4'!$S$3:$S$501,"=36")</f>
        <v>0</v>
      </c>
      <c r="R71" s="74">
        <f>SUMIFS('Unos rashoda i izdataka'!$L$3:$L$504,'Unos rashoda i izdataka'!$C$3:$C$504,"=581",'Unos rashoda i izdataka'!$P$3:$P$504,"=36")+SUMIFS('Unos rashoda P4'!$J$3:$J$501,'Unos rashoda P4'!$A$3:$A$501,"=581",'Unos rashoda P4'!$S$3:$S$501,"=36")</f>
        <v>0</v>
      </c>
      <c r="S71" s="74">
        <f>SUMIFS('Unos rashoda i izdataka'!$L$3:$L$504,'Unos rashoda i izdataka'!$C$3:$C$504,"=61",'Unos rashoda i izdataka'!$P$3:$P$504,"=36")+SUMIFS('Unos rashoda P4'!$J$3:$J$501,'Unos rashoda P4'!$A$3:$A$501,"=61",'Unos rashoda P4'!$S$3:$S$501,"=36")</f>
        <v>0</v>
      </c>
      <c r="T71" s="74">
        <f>SUMIFS('Unos rashoda i izdataka'!$L$3:$L$504,'Unos rashoda i izdataka'!$C$3:$C$504,"=63",'Unos rashoda i izdataka'!$P$3:$P$504,"=36")+SUMIFS('Unos rashoda P4'!$J$3:$J$501,'Unos rashoda P4'!$A$3:$A$501,"=63",'Unos rashoda P4'!$S$3:$S$501,"=36")</f>
        <v>0</v>
      </c>
      <c r="U71" s="74">
        <f>SUMIFS('Unos rashoda i izdataka'!$L$3:$L$504,'Unos rashoda i izdataka'!$C$3:$C$504,"=71",'Unos rashoda i izdataka'!$P$3:$P$504,"=36")+SUMIFS('Unos rashoda P4'!$J$3:$J$501,'Unos rashoda P4'!$A$3:$A$501,"=71",'Unos rashoda P4'!$S$3:$S$501,"=36")</f>
        <v>0</v>
      </c>
      <c r="V71" s="74">
        <f>SUMIFS('Unos rashoda i izdataka'!$L$3:$L$504,'Unos rashoda i izdataka'!$C$3:$C$504,"=81",'Unos rashoda i izdataka'!$P$3:$P$504,"=36")+SUMIFS('Unos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0</v>
      </c>
      <c r="D72" s="74">
        <f>SUMIFS('Unos rashoda i izdataka'!$L$3:$L$504,'Unos rashoda i izdataka'!$C$3:$C$504,"=11",'Unos rashoda i izdataka'!$P$3:$P$504,"=37")+SUMIFS('Unos rashoda P4'!$J$3:$J$501,'Unos rashoda P4'!$A$3:$A$501,"=11",'Unos rashoda P4'!$S$3:$S$501,"=37")</f>
        <v>0</v>
      </c>
      <c r="E72" s="74">
        <f>SUMIFS('Unos rashoda i izdataka'!$L$3:$L$504,'Unos rashoda i izdataka'!$C$3:$C$504,"=12",'Unos rashoda i izdataka'!$P$3:$P$504,"=37")+SUMIFS('Unos rashoda P4'!$J$3:$J$501,'Unos rashoda P4'!$A$3:$A$501,"=12",'Unos rashoda P4'!$S$3:$S$501,"=37")</f>
        <v>0</v>
      </c>
      <c r="F72" s="74">
        <f>SUMIFS('Unos rashoda i izdataka'!$L$3:$L$504,'Unos rashoda i izdataka'!$C$3:$C$504,"=31",'Unos rashoda i izdataka'!$P$3:$P$504,"=37")+SUMIFS('Unos rashoda P4'!$J$3:$J$501,'Unos rashoda P4'!$A$3:$A$501,"=31",'Unos rashoda P4'!$S$3:$S$501,"=37")</f>
        <v>0</v>
      </c>
      <c r="G72" s="74">
        <f>SUMIFS('Unos rashoda i izdataka'!$L$3:$L$504,'Unos rashoda i izdataka'!$C$3:$C$504,"=41",'Unos rashoda i izdataka'!$P$3:$P$504,"=37")+SUMIFS('Unos rashoda P4'!$J$3:$J$501,'Unos rashoda P4'!$A$3:$A$501,"=41",'Unos rashoda P4'!$S$3:$S$501,"=37")</f>
        <v>0</v>
      </c>
      <c r="H72" s="74">
        <f>SUMIFS('Unos rashoda i izdataka'!$L$3:$L$504,'Unos rashoda i izdataka'!$C$3:$C$504,"=43",'Unos rashoda i izdataka'!$P$3:$P$504,"=37")+SUMIFS('Unos rashoda P4'!$J$3:$J$501,'Unos rashoda P4'!$A$3:$A$501,"=43",'Unos rashoda P4'!$S$3:$S$501,"=37")</f>
        <v>0</v>
      </c>
      <c r="I72" s="74">
        <f>SUMIFS('Unos rashoda i izdataka'!$L$3:$L$504,'Unos rashoda i izdataka'!$C$3:$C$504,"=51",'Unos rashoda i izdataka'!$P$3:$P$504,"=37")+SUMIFS('Unos rashoda P4'!$J$3:$J$501,'Unos rashoda P4'!$A$3:$A$501,"=51",'Unos rashoda P4'!$S$3:$S$501,"=37")</f>
        <v>0</v>
      </c>
      <c r="J72" s="74">
        <f>SUMIFS('Unos rashoda i izdataka'!$L$3:$L$504,'Unos rashoda i izdataka'!$C$3:$C$504,"=52",'Unos rashoda i izdataka'!$P$3:$P$504,"=37")+SUMIFS('Unos rashoda P4'!$J$3:$J$501,'Unos rashoda P4'!$A$3:$A$501,"=52",'Unos rashoda P4'!$S$3:$S$501,"=37")</f>
        <v>0</v>
      </c>
      <c r="K72" s="74">
        <f>SUMIFS('Unos rashoda i izdataka'!$L$3:$L$504,'Unos rashoda i izdataka'!$C$3:$C$504,"=552",'Unos rashoda i izdataka'!$P$3:$P$504,"=37")+SUMIFS('Unos rashoda P4'!$J$3:$J$501,'Unos rashoda P4'!$A$3:$A$501,"=552",'Unos rashoda P4'!$S$3:$S$501,"=37")</f>
        <v>0</v>
      </c>
      <c r="L72" s="74">
        <f>SUMIFS('Unos rashoda i izdataka'!$L$3:$L$504,'Unos rashoda i izdataka'!$C$3:$C$504,"=559",'Unos rashoda i izdataka'!$P$3:$P$504,"=37")+SUMIFS('Unos rashoda P4'!$J$3:$J$501,'Unos rashoda P4'!$A$3:$A$501,"=559",'Unos rashoda P4'!$S$3:$S$501,"=37")</f>
        <v>0</v>
      </c>
      <c r="M72" s="74">
        <f>SUMIFS('Unos rashoda i izdataka'!$L$3:$L$504,'Unos rashoda i izdataka'!$C$3:$C$504,"=561",'Unos rashoda i izdataka'!$P$3:$P$504,"=37")+SUMIFS('Unos rashoda P4'!$J$3:$J$501,'Unos rashoda P4'!$A$3:$A$501,"=561",'Unos rashoda P4'!$S$3:$S$501,"=37")</f>
        <v>0</v>
      </c>
      <c r="N72" s="74">
        <f>SUMIFS('Unos rashoda i izdataka'!$L$3:$L$504,'Unos rashoda i izdataka'!$C$3:$C$504,"=563",'Unos rashoda i izdataka'!$P$3:$P$504,"=37")+SUMIFS('Unos rashoda P4'!$J$3:$J$501,'Unos rashoda P4'!$A$3:$A$501,"=563",'Unos rashoda P4'!$S$3:$S$501,"=37")</f>
        <v>0</v>
      </c>
      <c r="O72" s="74">
        <f>SUMIFS('Unos rashoda i izdataka'!$L$3:$L$504,'Unos rashoda i izdataka'!$C$3:$C$504,"=573",'Unos rashoda i izdataka'!$P$3:$P$504,"=37")+SUMIFS('Unos rashoda P4'!$J$3:$J$501,'Unos rashoda P4'!$A$3:$A$501,"=573",'Unos rashoda P4'!$S$3:$S$501,"=37")</f>
        <v>0</v>
      </c>
      <c r="P72" s="74">
        <f>SUMIFS('Unos rashoda i izdataka'!$L$3:$L$504,'Unos rashoda i izdataka'!$C$3:$C$504,"=575",'Unos rashoda i izdataka'!$P$3:$P$504,"=37")+SUMIFS('Unos rashoda P4'!$J$3:$J$501,'Unos rashoda P4'!$A$3:$A$501,"=575",'Unos rashoda P4'!$S$3:$S$501,"=37")</f>
        <v>0</v>
      </c>
      <c r="Q72" s="74">
        <f>SUMIFS('Unos rashoda i izdataka'!$L$3:$L$504,'Unos rashoda i izdataka'!$Q$3:$Q$504,"=576",'Unos rashoda i izdataka'!$P$3:$P$504,"=37")+SUMIFS('Unos rashoda P4'!$J$3:$J$501,'Unos rashoda P4'!$A$3:$A$501,"=576",'Unos rashoda P4'!$S$3:$S$501,"=37")</f>
        <v>0</v>
      </c>
      <c r="R72" s="74">
        <f>SUMIFS('Unos rashoda i izdataka'!$L$3:$L$504,'Unos rashoda i izdataka'!$C$3:$C$504,"=581",'Unos rashoda i izdataka'!$P$3:$P$504,"=37")+SUMIFS('Unos rashoda P4'!$J$3:$J$501,'Unos rashoda P4'!$A$3:$A$501,"=581",'Unos rashoda P4'!$S$3:$S$501,"=37")</f>
        <v>0</v>
      </c>
      <c r="S72" s="74">
        <f>SUMIFS('Unos rashoda i izdataka'!$L$3:$L$504,'Unos rashoda i izdataka'!$C$3:$C$504,"=61",'Unos rashoda i izdataka'!$P$3:$P$504,"=37")+SUMIFS('Unos rashoda P4'!$J$3:$J$501,'Unos rashoda P4'!$A$3:$A$501,"=61",'Unos rashoda P4'!$S$3:$S$501,"=37")</f>
        <v>0</v>
      </c>
      <c r="T72" s="74">
        <f>SUMIFS('Unos rashoda i izdataka'!$L$3:$L$504,'Unos rashoda i izdataka'!$C$3:$C$504,"=63",'Unos rashoda i izdataka'!$P$3:$P$504,"=37")+SUMIFS('Unos rashoda P4'!$J$3:$J$501,'Unos rashoda P4'!$A$3:$A$501,"=63",'Unos rashoda P4'!$S$3:$S$501,"=37")</f>
        <v>0</v>
      </c>
      <c r="U72" s="74">
        <f>SUMIFS('Unos rashoda i izdataka'!$L$3:$L$504,'Unos rashoda i izdataka'!$C$3:$C$504,"=71",'Unos rashoda i izdataka'!$P$3:$P$504,"=37")+SUMIFS('Unos rashoda P4'!$J$3:$J$501,'Unos rashoda P4'!$A$3:$A$501,"=71",'Unos rashoda P4'!$S$3:$S$501,"=37")</f>
        <v>0</v>
      </c>
      <c r="V72" s="74">
        <f>SUMIFS('Unos rashoda i izdataka'!$L$3:$L$504,'Unos rashoda i izdataka'!$C$3:$C$504,"=81",'Unos rashoda i izdataka'!$P$3:$P$504,"=37")+SUMIFS('Unos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izdataka'!$L$3:$L$504,'Unos rashoda i izdataka'!$C$3:$C$504,"=11",'Unos rashoda i izdataka'!$P$3:$P$504,"=38")+SUMIFS('Unos rashoda P4'!$J$3:$J$501,'Unos rashoda P4'!$A$3:$A$501,"=11",'Unos rashoda P4'!$S$3:$S$501,"=38")</f>
        <v>0</v>
      </c>
      <c r="E73" s="74">
        <f>SUMIFS('Unos rashoda i izdataka'!$L$3:$L$504,'Unos rashoda i izdataka'!$C$3:$C$504,"=12",'Unos rashoda i izdataka'!$P$3:$P$504,"=38")+SUMIFS('Unos rashoda P4'!$J$3:$J$501,'Unos rashoda P4'!$A$3:$A$501,"=12",'Unos rashoda P4'!$S$3:$S$501,"=38")</f>
        <v>0</v>
      </c>
      <c r="F73" s="74">
        <f>SUMIFS('Unos rashoda i izdataka'!$L$3:$L$504,'Unos rashoda i izdataka'!$C$3:$C$504,"=31",'Unos rashoda i izdataka'!$P$3:$P$504,"=38")+SUMIFS('Unos rashoda P4'!$J$3:$J$501,'Unos rashoda P4'!$A$3:$A$501,"=31",'Unos rashoda P4'!$S$3:$S$501,"=38")</f>
        <v>0</v>
      </c>
      <c r="G73" s="74">
        <f>SUMIFS('Unos rashoda i izdataka'!$L$3:$L$504,'Unos rashoda i izdataka'!$C$3:$C$504,"=41",'Unos rashoda i izdataka'!$P$3:$P$504,"=38")+SUMIFS('Unos rashoda P4'!$J$3:$J$501,'Unos rashoda P4'!$A$3:$A$501,"=41",'Unos rashoda P4'!$S$3:$S$501,"=38")</f>
        <v>0</v>
      </c>
      <c r="H73" s="74">
        <f>SUMIFS('Unos rashoda i izdataka'!$L$3:$L$504,'Unos rashoda i izdataka'!$C$3:$C$504,"=43",'Unos rashoda i izdataka'!$P$3:$P$504,"=38")+SUMIFS('Unos rashoda P4'!$J$3:$J$501,'Unos rashoda P4'!$A$3:$A$501,"=43",'Unos rashoda P4'!$S$3:$S$501,"=38")</f>
        <v>0</v>
      </c>
      <c r="I73" s="74">
        <f>SUMIFS('Unos rashoda i izdataka'!$L$3:$L$504,'Unos rashoda i izdataka'!$C$3:$C$504,"=51",'Unos rashoda i izdataka'!$P$3:$P$504,"=38")+SUMIFS('Unos rashoda P4'!$J$3:$J$501,'Unos rashoda P4'!$A$3:$A$501,"=51",'Unos rashoda P4'!$S$3:$S$501,"=38")</f>
        <v>0</v>
      </c>
      <c r="J73" s="74">
        <f>SUMIFS('Unos rashoda i izdataka'!$L$3:$L$504,'Unos rashoda i izdataka'!$C$3:$C$504,"=52",'Unos rashoda i izdataka'!$P$3:$P$504,"=38")+SUMIFS('Unos rashoda P4'!$J$3:$J$501,'Unos rashoda P4'!$A$3:$A$501,"=52",'Unos rashoda P4'!$S$3:$S$501,"=38")</f>
        <v>0</v>
      </c>
      <c r="K73" s="74">
        <f>SUMIFS('Unos rashoda i izdataka'!$L$3:$L$504,'Unos rashoda i izdataka'!$C$3:$C$504,"=552",'Unos rashoda i izdataka'!$P$3:$P$504,"=38")+SUMIFS('Unos rashoda P4'!$J$3:$J$501,'Unos rashoda P4'!$A$3:$A$501,"=552",'Unos rashoda P4'!$S$3:$S$501,"=38")</f>
        <v>0</v>
      </c>
      <c r="L73" s="74">
        <f>SUMIFS('Unos rashoda i izdataka'!$L$3:$L$504,'Unos rashoda i izdataka'!$C$3:$C$504,"=559",'Unos rashoda i izdataka'!$P$3:$P$504,"=38")+SUMIFS('Unos rashoda P4'!$J$3:$J$501,'Unos rashoda P4'!$A$3:$A$501,"=559",'Unos rashoda P4'!$S$3:$S$501,"=38")</f>
        <v>0</v>
      </c>
      <c r="M73" s="74">
        <f>SUMIFS('Unos rashoda i izdataka'!$L$3:$L$504,'Unos rashoda i izdataka'!$C$3:$C$504,"=561",'Unos rashoda i izdataka'!$P$3:$P$504,"=38")+SUMIFS('Unos rashoda P4'!$J$3:$J$501,'Unos rashoda P4'!$A$3:$A$501,"=561",'Unos rashoda P4'!$S$3:$S$501,"=38")</f>
        <v>0</v>
      </c>
      <c r="N73" s="74">
        <f>SUMIFS('Unos rashoda i izdataka'!$L$3:$L$504,'Unos rashoda i izdataka'!$C$3:$C$504,"=563",'Unos rashoda i izdataka'!$P$3:$P$504,"=38")+SUMIFS('Unos rashoda P4'!$J$3:$J$501,'Unos rashoda P4'!$A$3:$A$501,"=563",'Unos rashoda P4'!$S$3:$S$501,"=38")</f>
        <v>0</v>
      </c>
      <c r="O73" s="74">
        <f>SUMIFS('Unos rashoda i izdataka'!$L$3:$L$504,'Unos rashoda i izdataka'!$C$3:$C$504,"=573",'Unos rashoda i izdataka'!$P$3:$P$504,"=38")+SUMIFS('Unos rashoda P4'!$J$3:$J$501,'Unos rashoda P4'!$A$3:$A$501,"=573",'Unos rashoda P4'!$S$3:$S$501,"=38")</f>
        <v>0</v>
      </c>
      <c r="P73" s="74">
        <f>SUMIFS('Unos rashoda i izdataka'!$L$3:$L$504,'Unos rashoda i izdataka'!$C$3:$C$504,"=575",'Unos rashoda i izdataka'!$P$3:$P$504,"=38")+SUMIFS('Unos rashoda P4'!$J$3:$J$501,'Unos rashoda P4'!$A$3:$A$501,"=575",'Unos rashoda P4'!$S$3:$S$501,"=38")</f>
        <v>0</v>
      </c>
      <c r="Q73" s="74">
        <f>SUMIFS('Unos rashoda i izdataka'!$L$3:$L$504,'Unos rashoda i izdataka'!$Q$3:$Q$504,"=576",'Unos rashoda i izdataka'!$P$3:$P$504,"=38")+SUMIFS('Unos rashoda P4'!$J$3:$J$501,'Unos rashoda P4'!$A$3:$A$501,"=576",'Unos rashoda P4'!$S$3:$S$501,"=38")</f>
        <v>0</v>
      </c>
      <c r="R73" s="74">
        <f>SUMIFS('Unos rashoda i izdataka'!$L$3:$L$504,'Unos rashoda i izdataka'!$C$3:$C$504,"=581",'Unos rashoda i izdataka'!$P$3:$P$504,"=38")+SUMIFS('Unos rashoda P4'!$J$3:$J$501,'Unos rashoda P4'!$A$3:$A$501,"=581",'Unos rashoda P4'!$S$3:$S$501,"=38")</f>
        <v>0</v>
      </c>
      <c r="S73" s="74">
        <f>SUMIFS('Unos rashoda i izdataka'!$L$3:$L$504,'Unos rashoda i izdataka'!$C$3:$C$504,"=61",'Unos rashoda i izdataka'!$P$3:$P$504,"=38")+SUMIFS('Unos rashoda P4'!$J$3:$J$501,'Unos rashoda P4'!$A$3:$A$501,"=61",'Unos rashoda P4'!$S$3:$S$501,"=38")</f>
        <v>0</v>
      </c>
      <c r="T73" s="74">
        <f>SUMIFS('Unos rashoda i izdataka'!$L$3:$L$504,'Unos rashoda i izdataka'!$C$3:$C$504,"=63",'Unos rashoda i izdataka'!$P$3:$P$504,"=38")+SUMIFS('Unos rashoda P4'!$J$3:$J$501,'Unos rashoda P4'!$A$3:$A$501,"=63",'Unos rashoda P4'!$S$3:$S$501,"=38")</f>
        <v>0</v>
      </c>
      <c r="U73" s="74">
        <f>SUMIFS('Unos rashoda i izdataka'!$L$3:$L$504,'Unos rashoda i izdataka'!$C$3:$C$504,"=71",'Unos rashoda i izdataka'!$P$3:$P$504,"=38")+SUMIFS('Unos rashoda P4'!$J$3:$J$501,'Unos rashoda P4'!$A$3:$A$501,"=71",'Unos rashoda P4'!$S$3:$S$501,"=38")</f>
        <v>0</v>
      </c>
      <c r="V73" s="74">
        <f>SUMIFS('Unos rashoda i izdataka'!$L$3:$L$504,'Unos rashoda i izdataka'!$C$3:$C$504,"=81",'Unos rashoda i izdataka'!$P$3:$P$504,"=38")+SUMIFS('Unos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102192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9364</v>
      </c>
      <c r="G74" s="69">
        <f t="shared" ref="G74" si="49">+G75+G76+G77+G78+G79</f>
        <v>0</v>
      </c>
      <c r="H74" s="69">
        <f t="shared" ref="H74" si="50">+H75+H76+H77+H78+H79</f>
        <v>89865</v>
      </c>
      <c r="I74" s="69">
        <f t="shared" ref="I74" si="51">+I75+I76+I77+I78+I79</f>
        <v>2963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izdataka'!$L$3:$L$504,'Unos rashoda i izdataka'!$C$3:$C$504,"=11",'Unos rashoda i izdataka'!$P$3:$P$504,"=41")+SUMIFS('Unos rashoda P4'!$J$3:$J$501,'Unos rashoda P4'!$A$3:$A$501,"=11",'Unos rashoda P4'!$S$3:$S$501,"=41")</f>
        <v>0</v>
      </c>
      <c r="E75" s="74">
        <f>SUMIFS('Unos rashoda i izdataka'!$L$3:$L$504,'Unos rashoda i izdataka'!$C$3:$C$504,"=12",'Unos rashoda i izdataka'!$P$3:$P$504,"=41")+SUMIFS('Unos rashoda P4'!$J$3:$J$501,'Unos rashoda P4'!$A$3:$A$501,"=12",'Unos rashoda P4'!$S$3:$S$501,"=41")</f>
        <v>0</v>
      </c>
      <c r="F75" s="74">
        <f>SUMIFS('Unos rashoda i izdataka'!$L$3:$L$504,'Unos rashoda i izdataka'!$C$3:$C$504,"=31",'Unos rashoda i izdataka'!$P$3:$P$504,"=41")+SUMIFS('Unos rashoda P4'!$J$3:$J$501,'Unos rashoda P4'!$A$3:$A$501,"=31",'Unos rashoda P4'!$S$3:$S$501,"=41")</f>
        <v>0</v>
      </c>
      <c r="G75" s="74">
        <f>SUMIFS('Unos rashoda i izdataka'!$L$3:$L$504,'Unos rashoda i izdataka'!$C$3:$C$504,"=41",'Unos rashoda i izdataka'!$P$3:$P$504,"=41")+SUMIFS('Unos rashoda P4'!$J$3:$J$501,'Unos rashoda P4'!$A$3:$A$501,"=41",'Unos rashoda P4'!$S$3:$S$501,"=41")</f>
        <v>0</v>
      </c>
      <c r="H75" s="74">
        <f>SUMIFS('Unos rashoda i izdataka'!$L$3:$L$504,'Unos rashoda i izdataka'!$C$3:$C$504,"=43",'Unos rashoda i izdataka'!$P$3:$P$504,"=41")+SUMIFS('Unos rashoda P4'!$J$3:$J$501,'Unos rashoda P4'!$A$3:$A$501,"=43",'Unos rashoda P4'!$S$3:$S$501,"=41")</f>
        <v>0</v>
      </c>
      <c r="I75" s="74">
        <f>SUMIFS('Unos rashoda i izdataka'!$L$3:$L$504,'Unos rashoda i izdataka'!$C$3:$C$504,"=51",'Unos rashoda i izdataka'!$P$3:$P$504,"=41")+SUMIFS('Unos rashoda P4'!$J$3:$J$501,'Unos rashoda P4'!$A$3:$A$501,"=51",'Unos rashoda P4'!$S$3:$S$501,"=41")</f>
        <v>0</v>
      </c>
      <c r="J75" s="74">
        <f>SUMIFS('Unos rashoda i izdataka'!$L$3:$L$504,'Unos rashoda i izdataka'!$C$3:$C$504,"=52",'Unos rashoda i izdataka'!$P$3:$P$504,"=41")+SUMIFS('Unos rashoda P4'!$J$3:$J$501,'Unos rashoda P4'!$A$3:$A$501,"=52",'Unos rashoda P4'!$S$3:$S$501,"=41")</f>
        <v>0</v>
      </c>
      <c r="K75" s="74">
        <f>SUMIFS('Unos rashoda i izdataka'!$L$3:$L$504,'Unos rashoda i izdataka'!$C$3:$C$504,"=552",'Unos rashoda i izdataka'!$P$3:$P$504,"=41")+SUMIFS('Unos rashoda P4'!$J$3:$J$501,'Unos rashoda P4'!$A$3:$A$501,"=552",'Unos rashoda P4'!$S$3:$S$501,"=41")</f>
        <v>0</v>
      </c>
      <c r="L75" s="74">
        <f>SUMIFS('Unos rashoda i izdataka'!$L$3:$L$504,'Unos rashoda i izdataka'!$C$3:$C$504,"=559",'Unos rashoda i izdataka'!$P$3:$P$504,"=41")+SUMIFS('Unos rashoda P4'!$J$3:$J$501,'Unos rashoda P4'!$A$3:$A$501,"=559",'Unos rashoda P4'!$S$3:$S$501,"=41")</f>
        <v>0</v>
      </c>
      <c r="M75" s="74">
        <f>SUMIFS('Unos rashoda i izdataka'!$L$3:$L$504,'Unos rashoda i izdataka'!$C$3:$C$504,"=561",'Unos rashoda i izdataka'!$P$3:$P$504,"=41")+SUMIFS('Unos rashoda P4'!$J$3:$J$501,'Unos rashoda P4'!$A$3:$A$501,"=561",'Unos rashoda P4'!$S$3:$S$501,"=41")</f>
        <v>0</v>
      </c>
      <c r="N75" s="74">
        <f>SUMIFS('Unos rashoda i izdataka'!$L$3:$L$504,'Unos rashoda i izdataka'!$C$3:$C$504,"=563",'Unos rashoda i izdataka'!$P$3:$P$504,"=41")+SUMIFS('Unos rashoda P4'!$J$3:$J$501,'Unos rashoda P4'!$A$3:$A$501,"=563",'Unos rashoda P4'!$S$3:$S$501,"=41")</f>
        <v>0</v>
      </c>
      <c r="O75" s="74">
        <f>SUMIFS('Unos rashoda i izdataka'!$L$3:$L$504,'Unos rashoda i izdataka'!$C$3:$C$504,"=573",'Unos rashoda i izdataka'!$P$3:$P$504,"=41")+SUMIFS('Unos rashoda P4'!$J$3:$J$501,'Unos rashoda P4'!$A$3:$A$501,"=573",'Unos rashoda P4'!$S$3:$S$501,"=41")</f>
        <v>0</v>
      </c>
      <c r="P75" s="74">
        <f>SUMIFS('Unos rashoda i izdataka'!$L$3:$L$504,'Unos rashoda i izdataka'!$C$3:$C$504,"=575",'Unos rashoda i izdataka'!$P$3:$P$504,"=41")+SUMIFS('Unos rashoda P4'!$J$3:$J$501,'Unos rashoda P4'!$A$3:$A$501,"=575",'Unos rashoda P4'!$S$3:$S$501,"=41")</f>
        <v>0</v>
      </c>
      <c r="Q75" s="74">
        <f>SUMIFS('Unos rashoda i izdataka'!$L$3:$L$504,'Unos rashoda i izdataka'!$Q$3:$Q$504,"=576",'Unos rashoda i izdataka'!$P$3:$P$504,"=41")+SUMIFS('Unos rashoda P4'!$J$3:$J$501,'Unos rashoda P4'!$A$3:$A$501,"=576",'Unos rashoda P4'!$S$3:$S$501,"=41")</f>
        <v>0</v>
      </c>
      <c r="R75" s="74">
        <f>SUMIFS('Unos rashoda i izdataka'!$L$3:$L$504,'Unos rashoda i izdataka'!$C$3:$C$504,"=581",'Unos rashoda i izdataka'!$P$3:$P$504,"=41")+SUMIFS('Unos rashoda P4'!$J$3:$J$501,'Unos rashoda P4'!$A$3:$A$501,"=581",'Unos rashoda P4'!$S$3:$S$501,"=41")</f>
        <v>0</v>
      </c>
      <c r="S75" s="74">
        <f>SUMIFS('Unos rashoda i izdataka'!$L$3:$L$504,'Unos rashoda i izdataka'!$C$3:$C$504,"=61",'Unos rashoda i izdataka'!$P$3:$P$504,"=41")+SUMIFS('Unos rashoda P4'!$J$3:$J$501,'Unos rashoda P4'!$A$3:$A$501,"=61",'Unos rashoda P4'!$S$3:$S$501,"=41")</f>
        <v>0</v>
      </c>
      <c r="T75" s="74">
        <f>SUMIFS('Unos rashoda i izdataka'!$L$3:$L$504,'Unos rashoda i izdataka'!$C$3:$C$504,"=63",'Unos rashoda i izdataka'!$P$3:$P$504,"=41")+SUMIFS('Unos rashoda P4'!$J$3:$J$501,'Unos rashoda P4'!$A$3:$A$501,"=63",'Unos rashoda P4'!$S$3:$S$501,"=41")</f>
        <v>0</v>
      </c>
      <c r="U75" s="74">
        <f>SUMIFS('Unos rashoda i izdataka'!$L$3:$L$504,'Unos rashoda i izdataka'!$C$3:$C$504,"=71",'Unos rashoda i izdataka'!$P$3:$P$504,"=41")+SUMIFS('Unos rashoda P4'!$J$3:$J$501,'Unos rashoda P4'!$A$3:$A$501,"=71",'Unos rashoda P4'!$S$3:$S$501,"=41")</f>
        <v>0</v>
      </c>
      <c r="V75" s="74">
        <f>SUMIFS('Unos rashoda i izdataka'!$L$3:$L$504,'Unos rashoda i izdataka'!$C$3:$C$504,"=81",'Unos rashoda i izdataka'!$P$3:$P$504,"=41")+SUMIFS('Unos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22192</v>
      </c>
      <c r="D76" s="74">
        <f>SUMIFS('Unos rashoda i izdataka'!$L$3:$L$504,'Unos rashoda i izdataka'!$C$3:$C$504,"=11",'Unos rashoda i izdataka'!$P$3:$P$504,"=42")+SUMIFS('Unos rashoda P4'!$J$3:$J$501,'Unos rashoda P4'!$A$3:$A$501,"=11",'Unos rashoda P4'!$S$3:$S$501,"=42")</f>
        <v>0</v>
      </c>
      <c r="E76" s="74">
        <f>SUMIFS('Unos rashoda i izdataka'!$L$3:$L$504,'Unos rashoda i izdataka'!$C$3:$C$504,"=12",'Unos rashoda i izdataka'!$P$3:$P$504,"=42")+SUMIFS('Unos rashoda P4'!$J$3:$J$501,'Unos rashoda P4'!$A$3:$A$501,"=12",'Unos rashoda P4'!$S$3:$S$501,"=42")</f>
        <v>0</v>
      </c>
      <c r="F76" s="74">
        <f>SUMIFS('Unos rashoda i izdataka'!$L$3:$L$504,'Unos rashoda i izdataka'!$C$3:$C$504,"=31",'Unos rashoda i izdataka'!$P$3:$P$504,"=42")+SUMIFS('Unos rashoda P4'!$J$3:$J$501,'Unos rashoda P4'!$A$3:$A$501,"=31",'Unos rashoda P4'!$S$3:$S$501,"=42")</f>
        <v>9364</v>
      </c>
      <c r="G76" s="74">
        <f>SUMIFS('Unos rashoda i izdataka'!$L$3:$L$504,'Unos rashoda i izdataka'!$C$3:$C$504,"=41",'Unos rashoda i izdataka'!$P$3:$P$504,"=42")+SUMIFS('Unos rashoda P4'!$J$3:$J$501,'Unos rashoda P4'!$A$3:$A$501,"=41",'Unos rashoda P4'!$S$3:$S$501,"=42")</f>
        <v>0</v>
      </c>
      <c r="H76" s="74">
        <f>SUMIFS('Unos rashoda i izdataka'!$L$3:$L$504,'Unos rashoda i izdataka'!$C$3:$C$504,"=43",'Unos rashoda i izdataka'!$P$3:$P$504,"=42")+SUMIFS('Unos rashoda P4'!$J$3:$J$501,'Unos rashoda P4'!$A$3:$A$501,"=43",'Unos rashoda P4'!$S$3:$S$501,"=42")</f>
        <v>9865</v>
      </c>
      <c r="I76" s="74">
        <f>SUMIFS('Unos rashoda i izdataka'!$L$3:$L$504,'Unos rashoda i izdataka'!$C$3:$C$504,"=51",'Unos rashoda i izdataka'!$P$3:$P$504,"=42")+SUMIFS('Unos rashoda P4'!$J$3:$J$501,'Unos rashoda P4'!$A$3:$A$501,"=51",'Unos rashoda P4'!$S$3:$S$501,"=42")</f>
        <v>2963</v>
      </c>
      <c r="J76" s="74">
        <f>SUMIFS('Unos rashoda i izdataka'!$L$3:$L$504,'Unos rashoda i izdataka'!$C$3:$C$504,"=52",'Unos rashoda i izdataka'!$P$3:$P$504,"=42")+SUMIFS('Unos rashoda P4'!$J$3:$J$501,'Unos rashoda P4'!$A$3:$A$501,"=52",'Unos rashoda P4'!$S$3:$S$501,"=42")</f>
        <v>0</v>
      </c>
      <c r="K76" s="74">
        <f>SUMIFS('Unos rashoda i izdataka'!$L$3:$L$504,'Unos rashoda i izdataka'!$C$3:$C$504,"=552",'Unos rashoda i izdataka'!$P$3:$P$504,"=42")+SUMIFS('Unos rashoda P4'!$J$3:$J$501,'Unos rashoda P4'!$A$3:$A$501,"=552",'Unos rashoda P4'!$S$3:$S$501,"=42")</f>
        <v>0</v>
      </c>
      <c r="L76" s="74">
        <f>SUMIFS('Unos rashoda i izdataka'!$L$3:$L$504,'Unos rashoda i izdataka'!$C$3:$C$504,"=559",'Unos rashoda i izdataka'!$P$3:$P$504,"=42")+SUMIFS('Unos rashoda P4'!$J$3:$J$501,'Unos rashoda P4'!$A$3:$A$501,"=559",'Unos rashoda P4'!$S$3:$S$501,"=42")</f>
        <v>0</v>
      </c>
      <c r="M76" s="74">
        <f>SUMIFS('Unos rashoda i izdataka'!$L$3:$L$504,'Unos rashoda i izdataka'!$C$3:$C$504,"=561",'Unos rashoda i izdataka'!$P$3:$P$504,"=42")+SUMIFS('Unos rashoda P4'!$J$3:$J$501,'Unos rashoda P4'!$A$3:$A$501,"=561",'Unos rashoda P4'!$S$3:$S$501,"=42")</f>
        <v>0</v>
      </c>
      <c r="N76" s="74">
        <f>SUMIFS('Unos rashoda i izdataka'!$L$3:$L$504,'Unos rashoda i izdataka'!$C$3:$C$504,"=563",'Unos rashoda i izdataka'!$P$3:$P$504,"=42")+SUMIFS('Unos rashoda P4'!$J$3:$J$501,'Unos rashoda P4'!$A$3:$A$501,"=563",'Unos rashoda P4'!$S$3:$S$501,"=42")</f>
        <v>0</v>
      </c>
      <c r="O76" s="74">
        <f>SUMIFS('Unos rashoda i izdataka'!$L$3:$L$504,'Unos rashoda i izdataka'!$C$3:$C$504,"=573",'Unos rashoda i izdataka'!$P$3:$P$504,"=42")+SUMIFS('Unos rashoda P4'!$J$3:$J$501,'Unos rashoda P4'!$A$3:$A$501,"=573",'Unos rashoda P4'!$S$3:$S$501,"=42")</f>
        <v>0</v>
      </c>
      <c r="P76" s="74">
        <f>SUMIFS('Unos rashoda i izdataka'!$L$3:$L$504,'Unos rashoda i izdataka'!$C$3:$C$504,"=575",'Unos rashoda i izdataka'!$P$3:$P$504,"=42")+SUMIFS('Unos rashoda P4'!$J$3:$J$501,'Unos rashoda P4'!$A$3:$A$501,"=575",'Unos rashoda P4'!$S$3:$S$501,"=42")</f>
        <v>0</v>
      </c>
      <c r="Q76" s="74">
        <f>SUMIFS('Unos rashoda i izdataka'!$L$3:$L$504,'Unos rashoda i izdataka'!$Q$3:$Q$504,"=576",'Unos rashoda i izdataka'!$P$3:$P$504,"=42")+SUMIFS('Unos rashoda P4'!$J$3:$J$501,'Unos rashoda P4'!$A$3:$A$501,"=576",'Unos rashoda P4'!$S$3:$S$501,"=42")</f>
        <v>0</v>
      </c>
      <c r="R76" s="74">
        <f>SUMIFS('Unos rashoda i izdataka'!$L$3:$L$504,'Unos rashoda i izdataka'!$C$3:$C$504,"=581",'Unos rashoda i izdataka'!$P$3:$P$504,"=42")+SUMIFS('Unos rashoda P4'!$J$3:$J$501,'Unos rashoda P4'!$A$3:$A$501,"=581",'Unos rashoda P4'!$S$3:$S$501,"=42")</f>
        <v>0</v>
      </c>
      <c r="S76" s="74">
        <f>SUMIFS('Unos rashoda i izdataka'!$L$3:$L$504,'Unos rashoda i izdataka'!$C$3:$C$504,"=61",'Unos rashoda i izdataka'!$P$3:$P$504,"=42")+SUMIFS('Unos rashoda P4'!$J$3:$J$501,'Unos rashoda P4'!$A$3:$A$501,"=61",'Unos rashoda P4'!$S$3:$S$501,"=42")</f>
        <v>0</v>
      </c>
      <c r="T76" s="74">
        <f>SUMIFS('Unos rashoda i izdataka'!$L$3:$L$504,'Unos rashoda i izdataka'!$C$3:$C$504,"=63",'Unos rashoda i izdataka'!$P$3:$P$504,"=42")+SUMIFS('Unos rashoda P4'!$J$3:$J$501,'Unos rashoda P4'!$A$3:$A$501,"=63",'Unos rashoda P4'!$S$3:$S$501,"=42")</f>
        <v>0</v>
      </c>
      <c r="U76" s="74">
        <f>SUMIFS('Unos rashoda i izdataka'!$L$3:$L$504,'Unos rashoda i izdataka'!$C$3:$C$504,"=71",'Unos rashoda i izdataka'!$P$3:$P$504,"=42")+SUMIFS('Unos rashoda P4'!$J$3:$J$501,'Unos rashoda P4'!$A$3:$A$501,"=71",'Unos rashoda P4'!$S$3:$S$501,"=42")</f>
        <v>0</v>
      </c>
      <c r="V76" s="74">
        <f>SUMIFS('Unos rashoda i izdataka'!$L$3:$L$504,'Unos rashoda i izdataka'!$C$3:$C$504,"=81",'Unos rashoda i izdataka'!$P$3:$P$504,"=42")+SUMIFS('Unos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izdataka'!$L$3:$L$504,'Unos rashoda i izdataka'!$C$3:$C$504,"=11",'Unos rashoda i izdataka'!$P$3:$P$504,"=43")+SUMIFS('Unos rashoda P4'!$J$3:$J$501,'Unos rashoda P4'!$A$3:$A$501,"=11",'Unos rashoda P4'!$S$3:$S$501,"=43")</f>
        <v>0</v>
      </c>
      <c r="E77" s="74">
        <f>SUMIFS('Unos rashoda i izdataka'!$L$3:$L$504,'Unos rashoda i izdataka'!$C$3:$C$504,"=12",'Unos rashoda i izdataka'!$P$3:$P$504,"=43")+SUMIFS('Unos rashoda P4'!$J$3:$J$501,'Unos rashoda P4'!$A$3:$A$501,"=12",'Unos rashoda P4'!$S$3:$S$501,"=43")</f>
        <v>0</v>
      </c>
      <c r="F77" s="74">
        <f>SUMIFS('Unos rashoda i izdataka'!$L$3:$L$504,'Unos rashoda i izdataka'!$C$3:$C$504,"=31",'Unos rashoda i izdataka'!$P$3:$P$504,"=43")+SUMIFS('Unos rashoda P4'!$J$3:$J$501,'Unos rashoda P4'!$A$3:$A$501,"=31",'Unos rashoda P4'!$S$3:$S$501,"=43")</f>
        <v>0</v>
      </c>
      <c r="G77" s="74">
        <f>SUMIFS('Unos rashoda i izdataka'!$L$3:$L$504,'Unos rashoda i izdataka'!$C$3:$C$504,"=41",'Unos rashoda i izdataka'!$P$3:$P$504,"=43")+SUMIFS('Unos rashoda P4'!$J$3:$J$501,'Unos rashoda P4'!$A$3:$A$501,"=41",'Unos rashoda P4'!$S$3:$S$501,"=43")</f>
        <v>0</v>
      </c>
      <c r="H77" s="74">
        <f>SUMIFS('Unos rashoda i izdataka'!$L$3:$L$504,'Unos rashoda i izdataka'!$C$3:$C$504,"=43",'Unos rashoda i izdataka'!$P$3:$P$504,"=43")+SUMIFS('Unos rashoda P4'!$J$3:$J$501,'Unos rashoda P4'!$A$3:$A$501,"=43",'Unos rashoda P4'!$S$3:$S$501,"=43")</f>
        <v>0</v>
      </c>
      <c r="I77" s="74">
        <f>SUMIFS('Unos rashoda i izdataka'!$L$3:$L$504,'Unos rashoda i izdataka'!$C$3:$C$504,"=51",'Unos rashoda i izdataka'!$P$3:$P$504,"=43")+SUMIFS('Unos rashoda P4'!$J$3:$J$501,'Unos rashoda P4'!$A$3:$A$501,"=51",'Unos rashoda P4'!$S$3:$S$501,"=43")</f>
        <v>0</v>
      </c>
      <c r="J77" s="74">
        <f>SUMIFS('Unos rashoda i izdataka'!$L$3:$L$504,'Unos rashoda i izdataka'!$C$3:$C$504,"=52",'Unos rashoda i izdataka'!$P$3:$P$504,"=43")+SUMIFS('Unos rashoda P4'!$J$3:$J$501,'Unos rashoda P4'!$A$3:$A$501,"=52",'Unos rashoda P4'!$S$3:$S$501,"=43")</f>
        <v>0</v>
      </c>
      <c r="K77" s="74">
        <f>SUMIFS('Unos rashoda i izdataka'!$L$3:$L$504,'Unos rashoda i izdataka'!$C$3:$C$504,"=552",'Unos rashoda i izdataka'!$P$3:$P$504,"=43")+SUMIFS('Unos rashoda P4'!$J$3:$J$501,'Unos rashoda P4'!$A$3:$A$501,"=552",'Unos rashoda P4'!$S$3:$S$501,"=43")</f>
        <v>0</v>
      </c>
      <c r="L77" s="74">
        <f>SUMIFS('Unos rashoda i izdataka'!$L$3:$L$504,'Unos rashoda i izdataka'!$C$3:$C$504,"=559",'Unos rashoda i izdataka'!$P$3:$P$504,"=43")+SUMIFS('Unos rashoda P4'!$J$3:$J$501,'Unos rashoda P4'!$A$3:$A$501,"=559",'Unos rashoda P4'!$S$3:$S$501,"=43")</f>
        <v>0</v>
      </c>
      <c r="M77" s="74">
        <f>SUMIFS('Unos rashoda i izdataka'!$L$3:$L$504,'Unos rashoda i izdataka'!$C$3:$C$504,"=561",'Unos rashoda i izdataka'!$P$3:$P$504,"=43")+SUMIFS('Unos rashoda P4'!$J$3:$J$501,'Unos rashoda P4'!$A$3:$A$501,"=561",'Unos rashoda P4'!$S$3:$S$501,"=43")</f>
        <v>0</v>
      </c>
      <c r="N77" s="74">
        <f>SUMIFS('Unos rashoda i izdataka'!$L$3:$L$504,'Unos rashoda i izdataka'!$C$3:$C$504,"=563",'Unos rashoda i izdataka'!$P$3:$P$504,"=43")+SUMIFS('Unos rashoda P4'!$J$3:$J$501,'Unos rashoda P4'!$A$3:$A$501,"=563",'Unos rashoda P4'!$S$3:$S$501,"=43")</f>
        <v>0</v>
      </c>
      <c r="O77" s="74">
        <f>SUMIFS('Unos rashoda i izdataka'!$L$3:$L$504,'Unos rashoda i izdataka'!$C$3:$C$504,"=573",'Unos rashoda i izdataka'!$P$3:$P$504,"=43")+SUMIFS('Unos rashoda P4'!$J$3:$J$501,'Unos rashoda P4'!$A$3:$A$501,"=573",'Unos rashoda P4'!$S$3:$S$501,"=43")</f>
        <v>0</v>
      </c>
      <c r="P77" s="74">
        <f>SUMIFS('Unos rashoda i izdataka'!$L$3:$L$504,'Unos rashoda i izdataka'!$C$3:$C$504,"=575",'Unos rashoda i izdataka'!$P$3:$P$504,"=43")+SUMIFS('Unos rashoda P4'!$J$3:$J$501,'Unos rashoda P4'!$A$3:$A$501,"=575",'Unos rashoda P4'!$S$3:$S$501,"=43")</f>
        <v>0</v>
      </c>
      <c r="Q77" s="74">
        <f>SUMIFS('Unos rashoda i izdataka'!$L$3:$L$504,'Unos rashoda i izdataka'!$Q$3:$Q$504,"=576",'Unos rashoda i izdataka'!$P$3:$P$504,"=43")+SUMIFS('Unos rashoda P4'!$J$3:$J$501,'Unos rashoda P4'!$A$3:$A$501,"=576",'Unos rashoda P4'!$S$3:$S$501,"=43")</f>
        <v>0</v>
      </c>
      <c r="R77" s="74">
        <f>SUMIFS('Unos rashoda i izdataka'!$L$3:$L$504,'Unos rashoda i izdataka'!$C$3:$C$504,"=581",'Unos rashoda i izdataka'!$P$3:$P$504,"=43")+SUMIFS('Unos rashoda P4'!$J$3:$J$501,'Unos rashoda P4'!$A$3:$A$501,"=581",'Unos rashoda P4'!$S$3:$S$501,"=43")</f>
        <v>0</v>
      </c>
      <c r="S77" s="74">
        <f>SUMIFS('Unos rashoda i izdataka'!$L$3:$L$504,'Unos rashoda i izdataka'!$C$3:$C$504,"=61",'Unos rashoda i izdataka'!$P$3:$P$504,"=43")+SUMIFS('Unos rashoda P4'!$J$3:$J$501,'Unos rashoda P4'!$A$3:$A$501,"=61",'Unos rashoda P4'!$S$3:$S$501,"=43")</f>
        <v>0</v>
      </c>
      <c r="T77" s="74">
        <f>SUMIFS('Unos rashoda i izdataka'!$L$3:$L$504,'Unos rashoda i izdataka'!$C$3:$C$504,"=63",'Unos rashoda i izdataka'!$P$3:$P$504,"=43")+SUMIFS('Unos rashoda P4'!$J$3:$J$501,'Unos rashoda P4'!$A$3:$A$501,"=63",'Unos rashoda P4'!$S$3:$S$501,"=43")</f>
        <v>0</v>
      </c>
      <c r="U77" s="74">
        <f>SUMIFS('Unos rashoda i izdataka'!$L$3:$L$504,'Unos rashoda i izdataka'!$C$3:$C$504,"=71",'Unos rashoda i izdataka'!$P$3:$P$504,"=43")+SUMIFS('Unos rashoda P4'!$J$3:$J$501,'Unos rashoda P4'!$A$3:$A$501,"=71",'Unos rashoda P4'!$S$3:$S$501,"=43")</f>
        <v>0</v>
      </c>
      <c r="V77" s="74">
        <f>SUMIFS('Unos rashoda i izdataka'!$L$3:$L$504,'Unos rashoda i izdataka'!$C$3:$C$504,"=81",'Unos rashoda i izdataka'!$P$3:$P$504,"=43")+SUMIFS('Unos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izdataka'!$L$3:$L$504,'Unos rashoda i izdataka'!$C$3:$C$504,"=11",'Unos rashoda i izdataka'!$P$3:$P$504,"=44")+SUMIFS('Unos rashoda P4'!$J$3:$J$501,'Unos rashoda P4'!$A$3:$A$501,"=11",'Unos rashoda P4'!$S$3:$S$501,"=44")</f>
        <v>0</v>
      </c>
      <c r="E78" s="74">
        <f>SUMIFS('Unos rashoda i izdataka'!$L$3:$L$504,'Unos rashoda i izdataka'!$C$3:$C$504,"=12",'Unos rashoda i izdataka'!$P$3:$P$504,"=44")+SUMIFS('Unos rashoda P4'!$J$3:$J$501,'Unos rashoda P4'!$A$3:$A$501,"=12",'Unos rashoda P4'!$S$3:$S$501,"=44")</f>
        <v>0</v>
      </c>
      <c r="F78" s="74">
        <f>SUMIFS('Unos rashoda i izdataka'!$L$3:$L$504,'Unos rashoda i izdataka'!$C$3:$C$504,"=31",'Unos rashoda i izdataka'!$P$3:$P$504,"=44")+SUMIFS('Unos rashoda P4'!$J$3:$J$501,'Unos rashoda P4'!$A$3:$A$501,"=31",'Unos rashoda P4'!$S$3:$S$501,"=44")</f>
        <v>0</v>
      </c>
      <c r="G78" s="74">
        <f>SUMIFS('Unos rashoda i izdataka'!$L$3:$L$504,'Unos rashoda i izdataka'!$C$3:$C$504,"=41",'Unos rashoda i izdataka'!$P$3:$P$504,"=44")+SUMIFS('Unos rashoda P4'!$J$3:$J$501,'Unos rashoda P4'!$A$3:$A$501,"=41",'Unos rashoda P4'!$S$3:$S$501,"=44")</f>
        <v>0</v>
      </c>
      <c r="H78" s="74">
        <f>SUMIFS('Unos rashoda i izdataka'!$L$3:$L$504,'Unos rashoda i izdataka'!$C$3:$C$504,"=43",'Unos rashoda i izdataka'!$P$3:$P$504,"=44")+SUMIFS('Unos rashoda P4'!$J$3:$J$501,'Unos rashoda P4'!$A$3:$A$501,"=43",'Unos rashoda P4'!$S$3:$S$501,"=44")</f>
        <v>0</v>
      </c>
      <c r="I78" s="74">
        <f>SUMIFS('Unos rashoda i izdataka'!$L$3:$L$504,'Unos rashoda i izdataka'!$C$3:$C$504,"=51",'Unos rashoda i izdataka'!$P$3:$P$504,"=44")+SUMIFS('Unos rashoda P4'!$J$3:$J$501,'Unos rashoda P4'!$A$3:$A$501,"=51",'Unos rashoda P4'!$S$3:$S$501,"=44")</f>
        <v>0</v>
      </c>
      <c r="J78" s="74">
        <f>SUMIFS('Unos rashoda i izdataka'!$L$3:$L$504,'Unos rashoda i izdataka'!$C$3:$C$504,"=52",'Unos rashoda i izdataka'!$P$3:$P$504,"=44")+SUMIFS('Unos rashoda P4'!$J$3:$J$501,'Unos rashoda P4'!$A$3:$A$501,"=52",'Unos rashoda P4'!$S$3:$S$501,"=44")</f>
        <v>0</v>
      </c>
      <c r="K78" s="74">
        <f>SUMIFS('Unos rashoda i izdataka'!$L$3:$L$504,'Unos rashoda i izdataka'!$C$3:$C$504,"=552",'Unos rashoda i izdataka'!$P$3:$P$504,"=44")+SUMIFS('Unos rashoda P4'!$J$3:$J$501,'Unos rashoda P4'!$A$3:$A$501,"=552",'Unos rashoda P4'!$S$3:$S$501,"=44")</f>
        <v>0</v>
      </c>
      <c r="L78" s="74">
        <f>SUMIFS('Unos rashoda i izdataka'!$L$3:$L$504,'Unos rashoda i izdataka'!$C$3:$C$504,"=559",'Unos rashoda i izdataka'!$P$3:$P$504,"=44")+SUMIFS('Unos rashoda P4'!$J$3:$J$501,'Unos rashoda P4'!$A$3:$A$501,"=559",'Unos rashoda P4'!$S$3:$S$501,"=44")</f>
        <v>0</v>
      </c>
      <c r="M78" s="74">
        <f>SUMIFS('Unos rashoda i izdataka'!$L$3:$L$504,'Unos rashoda i izdataka'!$C$3:$C$504,"=561",'Unos rashoda i izdataka'!$P$3:$P$504,"=44")+SUMIFS('Unos rashoda P4'!$J$3:$J$501,'Unos rashoda P4'!$A$3:$A$501,"=561",'Unos rashoda P4'!$S$3:$S$501,"=44")</f>
        <v>0</v>
      </c>
      <c r="N78" s="74">
        <f>SUMIFS('Unos rashoda i izdataka'!$L$3:$L$504,'Unos rashoda i izdataka'!$C$3:$C$504,"=563",'Unos rashoda i izdataka'!$P$3:$P$504,"=44")+SUMIFS('Unos rashoda P4'!$J$3:$J$501,'Unos rashoda P4'!$A$3:$A$501,"=563",'Unos rashoda P4'!$S$3:$S$501,"=44")</f>
        <v>0</v>
      </c>
      <c r="O78" s="74">
        <f>SUMIFS('Unos rashoda i izdataka'!$L$3:$L$504,'Unos rashoda i izdataka'!$C$3:$C$504,"=573",'Unos rashoda i izdataka'!$P$3:$P$504,"=44")+SUMIFS('Unos rashoda P4'!$J$3:$J$501,'Unos rashoda P4'!$A$3:$A$501,"=573",'Unos rashoda P4'!$S$3:$S$501,"=44")</f>
        <v>0</v>
      </c>
      <c r="P78" s="74">
        <f>SUMIFS('Unos rashoda i izdataka'!$L$3:$L$504,'Unos rashoda i izdataka'!$C$3:$C$504,"=575",'Unos rashoda i izdataka'!$P$3:$P$504,"=44")+SUMIFS('Unos rashoda P4'!$J$3:$J$501,'Unos rashoda P4'!$A$3:$A$501,"=575",'Unos rashoda P4'!$S$3:$S$501,"=44")</f>
        <v>0</v>
      </c>
      <c r="Q78" s="74">
        <f>SUMIFS('Unos rashoda i izdataka'!$L$3:$L$504,'Unos rashoda i izdataka'!$Q$3:$Q$504,"=576",'Unos rashoda i izdataka'!$P$3:$P$504,"=44")+SUMIFS('Unos rashoda P4'!$J$3:$J$501,'Unos rashoda P4'!$A$3:$A$501,"=576",'Unos rashoda P4'!$S$3:$S$501,"=44")</f>
        <v>0</v>
      </c>
      <c r="R78" s="74">
        <f>SUMIFS('Unos rashoda i izdataka'!$L$3:$L$504,'Unos rashoda i izdataka'!$C$3:$C$504,"=581",'Unos rashoda i izdataka'!$P$3:$P$504,"=44")+SUMIFS('Unos rashoda P4'!$J$3:$J$501,'Unos rashoda P4'!$A$3:$A$501,"=581",'Unos rashoda P4'!$S$3:$S$501,"=44")</f>
        <v>0</v>
      </c>
      <c r="S78" s="74">
        <f>SUMIFS('Unos rashoda i izdataka'!$L$3:$L$504,'Unos rashoda i izdataka'!$C$3:$C$504,"=61",'Unos rashoda i izdataka'!$P$3:$P$504,"=44")+SUMIFS('Unos rashoda P4'!$J$3:$J$501,'Unos rashoda P4'!$A$3:$A$501,"=61",'Unos rashoda P4'!$S$3:$S$501,"=44")</f>
        <v>0</v>
      </c>
      <c r="T78" s="74">
        <f>SUMIFS('Unos rashoda i izdataka'!$L$3:$L$504,'Unos rashoda i izdataka'!$C$3:$C$504,"=63",'Unos rashoda i izdataka'!$P$3:$P$504,"=44")+SUMIFS('Unos rashoda P4'!$J$3:$J$501,'Unos rashoda P4'!$A$3:$A$501,"=63",'Unos rashoda P4'!$S$3:$S$501,"=44")</f>
        <v>0</v>
      </c>
      <c r="U78" s="74">
        <f>SUMIFS('Unos rashoda i izdataka'!$L$3:$L$504,'Unos rashoda i izdataka'!$C$3:$C$504,"=71",'Unos rashoda i izdataka'!$P$3:$P$504,"=44")+SUMIFS('Unos rashoda P4'!$J$3:$J$501,'Unos rashoda P4'!$A$3:$A$501,"=71",'Unos rashoda P4'!$S$3:$S$501,"=44")</f>
        <v>0</v>
      </c>
      <c r="V78" s="74">
        <f>SUMIFS('Unos rashoda i izdataka'!$L$3:$L$504,'Unos rashoda i izdataka'!$C$3:$C$504,"=81",'Unos rashoda i izdataka'!$P$3:$P$504,"=44")+SUMIFS('Unos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80000</v>
      </c>
      <c r="D79" s="74">
        <f>SUMIFS('Unos rashoda i izdataka'!$L$3:$L$504,'Unos rashoda i izdataka'!$C$3:$C$504,"=11",'Unos rashoda i izdataka'!$P$3:$P$504,"=45")+SUMIFS('Unos rashoda P4'!$J$3:$J$501,'Unos rashoda P4'!$A$3:$A$501,"=11",'Unos rashoda P4'!$S$3:$S$501,"=45")</f>
        <v>0</v>
      </c>
      <c r="E79" s="74">
        <f>SUMIFS('Unos rashoda i izdataka'!$L$3:$L$504,'Unos rashoda i izdataka'!$C$3:$C$504,"=12",'Unos rashoda i izdataka'!$P$3:$P$504,"=45")+SUMIFS('Unos rashoda P4'!$J$3:$J$501,'Unos rashoda P4'!$A$3:$A$501,"=12",'Unos rashoda P4'!$S$3:$S$501,"=45")</f>
        <v>0</v>
      </c>
      <c r="F79" s="74">
        <f>SUMIFS('Unos rashoda i izdataka'!$L$3:$L$504,'Unos rashoda i izdataka'!$C$3:$C$504,"=31",'Unos rashoda i izdataka'!$P$3:$P$504,"=45")+SUMIFS('Unos rashoda P4'!$J$3:$J$501,'Unos rashoda P4'!$A$3:$A$501,"=31",'Unos rashoda P4'!$S$3:$S$501,"=45")</f>
        <v>0</v>
      </c>
      <c r="G79" s="74">
        <f>SUMIFS('Unos rashoda i izdataka'!$L$3:$L$504,'Unos rashoda i izdataka'!$C$3:$C$504,"=41",'Unos rashoda i izdataka'!$P$3:$P$504,"=45")+SUMIFS('Unos rashoda P4'!$J$3:$J$501,'Unos rashoda P4'!$A$3:$A$501,"=41",'Unos rashoda P4'!$S$3:$S$501,"=45")</f>
        <v>0</v>
      </c>
      <c r="H79" s="74">
        <f>SUMIFS('Unos rashoda i izdataka'!$L$3:$L$504,'Unos rashoda i izdataka'!$C$3:$C$504,"=43",'Unos rashoda i izdataka'!$P$3:$P$504,"=45")+SUMIFS('Unos rashoda P4'!$J$3:$J$501,'Unos rashoda P4'!$A$3:$A$501,"=43",'Unos rashoda P4'!$S$3:$S$501,"=45")</f>
        <v>80000</v>
      </c>
      <c r="I79" s="74">
        <f>SUMIFS('Unos rashoda i izdataka'!$L$3:$L$504,'Unos rashoda i izdataka'!$C$3:$C$504,"=51",'Unos rashoda i izdataka'!$P$3:$P$504,"=45")+SUMIFS('Unos rashoda P4'!$J$3:$J$501,'Unos rashoda P4'!$A$3:$A$501,"=51",'Unos rashoda P4'!$S$3:$S$501,"=45")</f>
        <v>0</v>
      </c>
      <c r="J79" s="74">
        <f>SUMIFS('Unos rashoda i izdataka'!$L$3:$L$504,'Unos rashoda i izdataka'!$C$3:$C$504,"=52",'Unos rashoda i izdataka'!$P$3:$P$504,"=45")+SUMIFS('Unos rashoda P4'!$J$3:$J$501,'Unos rashoda P4'!$A$3:$A$501,"=52",'Unos rashoda P4'!$S$3:$S$501,"=45")</f>
        <v>0</v>
      </c>
      <c r="K79" s="74">
        <f>SUMIFS('Unos rashoda i izdataka'!$L$3:$L$504,'Unos rashoda i izdataka'!$C$3:$C$504,"=552",'Unos rashoda i izdataka'!$P$3:$P$504,"=45")+SUMIFS('Unos rashoda P4'!$J$3:$J$501,'Unos rashoda P4'!$A$3:$A$501,"=552",'Unos rashoda P4'!$S$3:$S$501,"=45")</f>
        <v>0</v>
      </c>
      <c r="L79" s="74">
        <f>SUMIFS('Unos rashoda i izdataka'!$L$3:$L$504,'Unos rashoda i izdataka'!$C$3:$C$504,"=559",'Unos rashoda i izdataka'!$P$3:$P$504,"=45")+SUMIFS('Unos rashoda P4'!$J$3:$J$501,'Unos rashoda P4'!$A$3:$A$501,"=559",'Unos rashoda P4'!$S$3:$S$501,"=45")</f>
        <v>0</v>
      </c>
      <c r="M79" s="74">
        <f>SUMIFS('Unos rashoda i izdataka'!$L$3:$L$504,'Unos rashoda i izdataka'!$C$3:$C$504,"=561",'Unos rashoda i izdataka'!$P$3:$P$504,"=45")+SUMIFS('Unos rashoda P4'!$J$3:$J$501,'Unos rashoda P4'!$A$3:$A$501,"=561",'Unos rashoda P4'!$S$3:$S$501,"=45")</f>
        <v>0</v>
      </c>
      <c r="N79" s="74">
        <f>SUMIFS('Unos rashoda i izdataka'!$L$3:$L$504,'Unos rashoda i izdataka'!$C$3:$C$504,"=563",'Unos rashoda i izdataka'!$P$3:$P$504,"=45")+SUMIFS('Unos rashoda P4'!$J$3:$J$501,'Unos rashoda P4'!$A$3:$A$501,"=563",'Unos rashoda P4'!$S$3:$S$501,"=45")</f>
        <v>0</v>
      </c>
      <c r="O79" s="74">
        <f>SUMIFS('Unos rashoda i izdataka'!$L$3:$L$504,'Unos rashoda i izdataka'!$C$3:$C$504,"=573",'Unos rashoda i izdataka'!$P$3:$P$504,"=45")+SUMIFS('Unos rashoda P4'!$J$3:$J$501,'Unos rashoda P4'!$A$3:$A$501,"=573",'Unos rashoda P4'!$S$3:$S$501,"=45")</f>
        <v>0</v>
      </c>
      <c r="P79" s="74">
        <f>SUMIFS('Unos rashoda i izdataka'!$L$3:$L$504,'Unos rashoda i izdataka'!$C$3:$C$504,"=575",'Unos rashoda i izdataka'!$P$3:$P$504,"=45")+SUMIFS('Unos rashoda P4'!$J$3:$J$501,'Unos rashoda P4'!$A$3:$A$501,"=575",'Unos rashoda P4'!$S$3:$S$501,"=45")</f>
        <v>0</v>
      </c>
      <c r="Q79" s="74">
        <f>SUMIFS('Unos rashoda i izdataka'!$L$3:$L$504,'Unos rashoda i izdataka'!$Q$3:$Q$504,"=576",'Unos rashoda i izdataka'!$P$3:$P$504,"=45")+SUMIFS('Unos rashoda P4'!$J$3:$J$501,'Unos rashoda P4'!$A$3:$A$501,"=576",'Unos rashoda P4'!$S$3:$S$501,"=45")</f>
        <v>0</v>
      </c>
      <c r="R79" s="74">
        <f>SUMIFS('Unos rashoda i izdataka'!$L$3:$L$504,'Unos rashoda i izdataka'!$C$3:$C$504,"=581",'Unos rashoda i izdataka'!$P$3:$P$504,"=45")+SUMIFS('Unos rashoda P4'!$J$3:$J$501,'Unos rashoda P4'!$A$3:$A$501,"=581",'Unos rashoda P4'!$S$3:$S$501,"=45")</f>
        <v>0</v>
      </c>
      <c r="S79" s="74">
        <f>SUMIFS('Unos rashoda i izdataka'!$L$3:$L$504,'Unos rashoda i izdataka'!$C$3:$C$504,"=61",'Unos rashoda i izdataka'!$P$3:$P$504,"=45")+SUMIFS('Unos rashoda P4'!$J$3:$J$501,'Unos rashoda P4'!$A$3:$A$501,"=61",'Unos rashoda P4'!$S$3:$S$501,"=45")</f>
        <v>0</v>
      </c>
      <c r="T79" s="74">
        <f>SUMIFS('Unos rashoda i izdataka'!$L$3:$L$504,'Unos rashoda i izdataka'!$C$3:$C$504,"=63",'Unos rashoda i izdataka'!$P$3:$P$504,"=45")+SUMIFS('Unos rashoda P4'!$J$3:$J$501,'Unos rashoda P4'!$A$3:$A$501,"=63",'Unos rashoda P4'!$S$3:$S$501,"=45")</f>
        <v>0</v>
      </c>
      <c r="U79" s="74">
        <f>SUMIFS('Unos rashoda i izdataka'!$L$3:$L$504,'Unos rashoda i izdataka'!$C$3:$C$504,"=71",'Unos rashoda i izdataka'!$P$3:$P$504,"=45")+SUMIFS('Unos rashoda P4'!$J$3:$J$501,'Unos rashoda P4'!$A$3:$A$501,"=71",'Unos rashoda P4'!$S$3:$S$501,"=45")</f>
        <v>0</v>
      </c>
      <c r="V79" s="74">
        <f>SUMIFS('Unos rashoda i izdataka'!$L$3:$L$504,'Unos rashoda i izdataka'!$C$3:$C$504,"=81",'Unos rashoda i izdataka'!$P$3:$P$504,"=45")+SUMIFS('Unos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4" workbookViewId="0">
      <selection activeCell="E19" sqref="E19"/>
    </sheetView>
  </sheetViews>
  <sheetFormatPr defaultRowHeight="14.4"/>
  <cols>
    <col min="1" max="1" width="9.109375" style="298" customWidth="1"/>
    <col min="2" max="2" width="34" customWidth="1"/>
    <col min="3" max="5" width="14.109375" customWidth="1"/>
  </cols>
  <sheetData>
    <row r="1" spans="1:193" s="29" customFormat="1" ht="24" customHeight="1">
      <c r="A1" s="386" t="s">
        <v>5107</v>
      </c>
      <c r="B1" s="386"/>
      <c r="C1" s="386"/>
      <c r="D1" s="386"/>
      <c r="E1" s="38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41.4">
      <c r="A4" s="296" t="s">
        <v>5108</v>
      </c>
      <c r="B4" s="2" t="s">
        <v>5119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59"/>
      <c r="B5" s="59" t="s">
        <v>5130</v>
      </c>
      <c r="C5" s="324">
        <f>+C6+C9+C11+C14+C25+C28+C30</f>
        <v>5810452</v>
      </c>
      <c r="D5" s="324">
        <f t="shared" ref="D5:E5" si="0">+D6+D9+D11+D14+D25+D28+D30</f>
        <v>740239</v>
      </c>
      <c r="E5" s="324">
        <f t="shared" si="0"/>
        <v>6550691</v>
      </c>
    </row>
    <row r="6" spans="1:193">
      <c r="A6" s="297">
        <v>1</v>
      </c>
      <c r="B6" s="58" t="s">
        <v>5122</v>
      </c>
      <c r="C6" s="323">
        <f>+C7+C8</f>
        <v>5415165</v>
      </c>
      <c r="D6" s="323">
        <f t="shared" ref="D6:E6" si="1">+D7+D8</f>
        <v>667864</v>
      </c>
      <c r="E6" s="323">
        <f t="shared" si="1"/>
        <v>6083029</v>
      </c>
    </row>
    <row r="7" spans="1:193">
      <c r="A7" s="294">
        <v>11</v>
      </c>
      <c r="B7" s="43" t="s">
        <v>5109</v>
      </c>
      <c r="C7" s="322">
        <f>+'A.2 RASHODI'!D4</f>
        <v>5415165</v>
      </c>
      <c r="D7" s="322">
        <v>667864</v>
      </c>
      <c r="E7" s="322">
        <v>6083029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35529</v>
      </c>
      <c r="D9" s="323">
        <f t="shared" ref="D9:E9" si="2">+D10</f>
        <v>0</v>
      </c>
      <c r="E9" s="323">
        <f t="shared" si="2"/>
        <v>35529</v>
      </c>
    </row>
    <row r="10" spans="1:193">
      <c r="A10" s="294">
        <v>31</v>
      </c>
      <c r="B10" s="43" t="s">
        <v>5110</v>
      </c>
      <c r="C10" s="322">
        <v>35529</v>
      </c>
      <c r="D10" s="322">
        <f>+'A.2 RASHODI'!F40</f>
        <v>0</v>
      </c>
      <c r="E10" s="322">
        <v>35529</v>
      </c>
    </row>
    <row r="11" spans="1:193">
      <c r="A11" s="297">
        <v>4</v>
      </c>
      <c r="B11" s="58" t="s">
        <v>5124</v>
      </c>
      <c r="C11" s="323">
        <f>+C12+C13</f>
        <v>358258</v>
      </c>
      <c r="D11" s="323">
        <f t="shared" ref="D11:E11" si="3">+D12+D13</f>
        <v>-32997</v>
      </c>
      <c r="E11" s="323">
        <f t="shared" si="3"/>
        <v>325261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358258</v>
      </c>
      <c r="D13" s="322">
        <f>+'A.2 RASHODI'!H40</f>
        <v>-32997</v>
      </c>
      <c r="E13" s="322">
        <f>+'A.2 RASHODI'!H57</f>
        <v>325261</v>
      </c>
    </row>
    <row r="14" spans="1:193">
      <c r="A14" s="297">
        <v>5</v>
      </c>
      <c r="B14" s="58" t="s">
        <v>5125</v>
      </c>
      <c r="C14" s="323">
        <f>SUM(C15:C24)</f>
        <v>0</v>
      </c>
      <c r="D14" s="323">
        <f t="shared" ref="D14:E14" si="4">SUM(D15:D24)</f>
        <v>106372</v>
      </c>
      <c r="E14" s="323">
        <f t="shared" si="4"/>
        <v>106372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17111</v>
      </c>
      <c r="E15" s="322">
        <f>+'A.1 PRIHODI'!I47</f>
        <v>17111</v>
      </c>
    </row>
    <row r="16" spans="1:193">
      <c r="A16" s="294">
        <v>52</v>
      </c>
      <c r="B16" s="43" t="s">
        <v>5114</v>
      </c>
      <c r="C16" s="322">
        <f>+'A.2 RASHODI'!J4</f>
        <v>0</v>
      </c>
      <c r="D16" s="322">
        <v>89261</v>
      </c>
      <c r="E16" s="322">
        <v>89261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7.6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1500</v>
      </c>
      <c r="D25" s="323">
        <f t="shared" ref="D25:E25" si="5">+D26+D27</f>
        <v>-1000</v>
      </c>
      <c r="E25" s="323">
        <f t="shared" si="5"/>
        <v>500</v>
      </c>
    </row>
    <row r="26" spans="1:5">
      <c r="A26" s="294">
        <v>61</v>
      </c>
      <c r="B26" s="43" t="s">
        <v>1683</v>
      </c>
      <c r="C26" s="322">
        <f>+'A.2 RASHODI'!S4</f>
        <v>1500</v>
      </c>
      <c r="D26" s="322">
        <f>+'A.2 RASHODI'!S40</f>
        <v>-1000</v>
      </c>
      <c r="E26" s="322">
        <f>+'A.2 RASHODI'!S57</f>
        <v>500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41.4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7.6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I70" sqref="I70"/>
    </sheetView>
  </sheetViews>
  <sheetFormatPr defaultRowHeight="14.4"/>
  <cols>
    <col min="1" max="1" width="9.33203125" style="316" bestFit="1" customWidth="1"/>
    <col min="2" max="2" width="41.88671875" style="293" customWidth="1"/>
    <col min="3" max="5" width="15.88671875" customWidth="1"/>
  </cols>
  <sheetData>
    <row r="1" spans="1:193" s="29" customFormat="1" ht="24" customHeight="1">
      <c r="A1" s="386" t="s">
        <v>5129</v>
      </c>
      <c r="B1" s="386"/>
      <c r="C1" s="386"/>
      <c r="D1" s="386"/>
      <c r="E1" s="38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28.8">
      <c r="A4" s="41" t="s">
        <v>5108</v>
      </c>
      <c r="B4" s="2" t="s">
        <v>5134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314"/>
      <c r="B5" s="59" t="s">
        <v>5130</v>
      </c>
      <c r="C5" s="61">
        <f>+C6+C15+C21+C28+C38+C45+C52+C59+C66+C75</f>
        <v>5810452</v>
      </c>
      <c r="D5" s="61">
        <f t="shared" ref="D5:E5" si="0">+D6+D15+D21+D28+D38+D45+D52+D59+D66+D75</f>
        <v>743387</v>
      </c>
      <c r="E5" s="61">
        <f t="shared" si="0"/>
        <v>6553839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7.6">
      <c r="A7" s="315">
        <v>11</v>
      </c>
      <c r="B7" s="43" t="s">
        <v>5132</v>
      </c>
      <c r="C7" s="322">
        <f>SUMIF('Unos rashoda i izdataka'!$R$3:$R$504,'A.4 RASHODI FUNK'!$A7,'Unos rashoda i izdataka'!$J$3:$J$504)+SUMIF('Unos rashoda P4'!$T$3:$T$501,'A.4 RASHODI FUNK'!$A7,'Unos rashoda P4'!$H$3:$H$501)</f>
        <v>0</v>
      </c>
      <c r="D7" s="322">
        <f>SUMIF('Unos rashoda i izdataka'!$R$3:$R$504,'A.4 RASHODI FUNK'!$A7,'Unos rashoda i izdataka'!$K$3:$K$504)+SUMIF('Unos rashoda P4'!$T$3:$T$501,'A.4 RASHODI FUNK'!$A7,'Unos rashoda P4'!$I$3:$I$501)</f>
        <v>0</v>
      </c>
      <c r="E7" s="322">
        <f>SUMIF('Unos rashoda i izdataka'!$R$3:$R$504,'A.4 RASHODI FUNK'!$A7,'Unos rashoda i izdataka'!$L$3:$L$504)+SUMIF('Unos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izdataka'!$R$3:$R$504,'A.4 RASHODI FUNK'!$A8,'Unos rashoda i izdataka'!$J$3:$J$504)+SUMIF('Unos rashoda P4'!$T$3:$T$501,'A.4 RASHODI FUNK'!$A8,'Unos rashoda P4'!$H$3:$H$501)</f>
        <v>0</v>
      </c>
      <c r="D8" s="322">
        <f>SUMIF('Unos rashoda i izdataka'!$R$3:$R$504,'A.4 RASHODI FUNK'!$A8,'Unos rashoda i izdataka'!$K$3:$K$504)+SUMIF('Unos rashoda P4'!$T$3:$T$501,'A.4 RASHODI FUNK'!$A8,'Unos rashoda P4'!$I$3:$I$501)</f>
        <v>0</v>
      </c>
      <c r="E8" s="322">
        <f>SUMIF('Unos rashoda i izdataka'!$R$3:$R$504,'A.4 RASHODI FUNK'!$A8,'Unos rashoda i izdataka'!$L$3:$L$504)+SUMIF('Unos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izdataka'!$R$3:$R$504,'A.4 RASHODI FUNK'!$A9,'Unos rashoda i izdataka'!$J$3:$J$504)+SUMIF('Unos rashoda P4'!$T$3:$T$501,'A.4 RASHODI FUNK'!$A9,'Unos rashoda P4'!$H$3:$H$501)</f>
        <v>0</v>
      </c>
      <c r="D9" s="322">
        <f>SUMIF('Unos rashoda i izdataka'!$R$3:$R$504,'A.4 RASHODI FUNK'!$A9,'Unos rashoda i izdataka'!$K$3:$K$504)+SUMIF('Unos rashoda P4'!$T$3:$T$501,'A.4 RASHODI FUNK'!$A9,'Unos rashoda P4'!$I$3:$I$501)</f>
        <v>0</v>
      </c>
      <c r="E9" s="322">
        <f>SUMIF('Unos rashoda i izdataka'!$R$3:$R$504,'A.4 RASHODI FUNK'!$A9,'Unos rashoda i izdataka'!$L$3:$L$504)+SUMIF('Unos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izdataka'!$R$3:$R$504,'A.4 RASHODI FUNK'!$A10,'Unos rashoda i izdataka'!$J$3:$J$504)+SUMIF('Unos rashoda P4'!$T$3:$T$501,'A.4 RASHODI FUNK'!$A10,'Unos rashoda P4'!$H$3:$H$501)</f>
        <v>0</v>
      </c>
      <c r="D10" s="322">
        <f>SUMIF('Unos rashoda i izdataka'!$R$3:$R$504,'A.4 RASHODI FUNK'!$A10,'Unos rashoda i izdataka'!$K$3:$K$504)+SUMIF('Unos rashoda P4'!$T$3:$T$501,'A.4 RASHODI FUNK'!$A10,'Unos rashoda P4'!$I$3:$I$501)</f>
        <v>0</v>
      </c>
      <c r="E10" s="322">
        <f>SUMIF('Unos rashoda i izdataka'!$R$3:$R$504,'A.4 RASHODI FUNK'!$A10,'Unos rashoda i izdataka'!$L$3:$L$504)+SUMIF('Unos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izdataka'!$R$3:$R$504,'A.4 RASHODI FUNK'!$A11,'Unos rashoda i izdataka'!$J$3:$J$504)+SUMIF('Unos rashoda P4'!$T$3:$T$501,'A.4 RASHODI FUNK'!$A11,'Unos rashoda P4'!$H$3:$H$501)</f>
        <v>0</v>
      </c>
      <c r="D11" s="322">
        <f>SUMIF('Unos rashoda i izdataka'!$R$3:$R$504,'A.4 RASHODI FUNK'!$A11,'Unos rashoda i izdataka'!$K$3:$K$504)+SUMIF('Unos rashoda P4'!$T$3:$T$501,'A.4 RASHODI FUNK'!$A11,'Unos rashoda P4'!$I$3:$I$501)</f>
        <v>0</v>
      </c>
      <c r="E11" s="322">
        <f>SUMIF('Unos rashoda i izdataka'!$R$3:$R$504,'A.4 RASHODI FUNK'!$A11,'Unos rashoda i izdataka'!$L$3:$L$504)+SUMIF('Unos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izdataka'!$R$3:$R$504,'A.4 RASHODI FUNK'!$A12,'Unos rashoda i izdataka'!$J$3:$J$504)+SUMIF('Unos rashoda P4'!$T$3:$T$501,'A.4 RASHODI FUNK'!$A12,'Unos rashoda P4'!$H$3:$H$501)</f>
        <v>0</v>
      </c>
      <c r="D12" s="322">
        <f>SUMIF('Unos rashoda i izdataka'!$R$3:$R$504,'A.4 RASHODI FUNK'!$A12,'Unos rashoda i izdataka'!$K$3:$K$504)+SUMIF('Unos rashoda P4'!$T$3:$T$501,'A.4 RASHODI FUNK'!$A12,'Unos rashoda P4'!$I$3:$I$501)</f>
        <v>0</v>
      </c>
      <c r="E12" s="322">
        <f>SUMIF('Unos rashoda i izdataka'!$R$3:$R$504,'A.4 RASHODI FUNK'!$A12,'Unos rashoda i izdataka'!$L$3:$L$504)+SUMIF('Unos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izdataka'!$R$3:$R$504,'A.4 RASHODI FUNK'!$A13,'Unos rashoda i izdataka'!$J$3:$J$504)+SUMIF('Unos rashoda P4'!$T$3:$T$501,'A.4 RASHODI FUNK'!$A13,'Unos rashoda P4'!$H$3:$H$501)</f>
        <v>0</v>
      </c>
      <c r="D13" s="322">
        <f>SUMIF('Unos rashoda i izdataka'!$R$3:$R$504,'A.4 RASHODI FUNK'!$A13,'Unos rashoda i izdataka'!$K$3:$K$504)+SUMIF('Unos rashoda P4'!$T$3:$T$501,'A.4 RASHODI FUNK'!$A13,'Unos rashoda P4'!$I$3:$I$501)</f>
        <v>0</v>
      </c>
      <c r="E13" s="322">
        <f>SUMIF('Unos rashoda i izdataka'!$R$3:$R$504,'A.4 RASHODI FUNK'!$A13,'Unos rashoda i izdataka'!$L$3:$L$504)+SUMIF('Unos rashoda P4'!$T$3:$T$501,'A.4 RASHODI FUNK'!$A13,'Unos rashoda P4'!$J$3:$J$501)</f>
        <v>0</v>
      </c>
    </row>
    <row r="14" spans="1:193" ht="27.6">
      <c r="A14" s="315">
        <v>18</v>
      </c>
      <c r="B14" s="43" t="s">
        <v>5154</v>
      </c>
      <c r="C14" s="322">
        <f>SUMIF('Unos rashoda i izdataka'!$R$3:$R$504,'A.4 RASHODI FUNK'!$A14,'Unos rashoda i izdataka'!$J$3:$J$504)+SUMIF('Unos rashoda P4'!$T$3:$T$501,'A.4 RASHODI FUNK'!$A14,'Unos rashoda P4'!$H$3:$H$501)</f>
        <v>0</v>
      </c>
      <c r="D14" s="322">
        <f>SUMIF('Unos rashoda i izdataka'!$R$3:$R$504,'A.4 RASHODI FUNK'!$A14,'Unos rashoda i izdataka'!$K$3:$K$504)+SUMIF('Unos rashoda P4'!$T$3:$T$501,'A.4 RASHODI FUNK'!$A14,'Unos rashoda P4'!$I$3:$I$501)</f>
        <v>0</v>
      </c>
      <c r="E14" s="322">
        <f>SUMIF('Unos rashoda i izdataka'!$R$3:$R$504,'A.4 RASHODI FUNK'!$A14,'Unos rashoda i izdataka'!$L$3:$L$504)+SUMIF('Unos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izdataka'!$R$3:$R$504,'A.4 RASHODI FUNK'!$A16,'Unos rashoda i izdataka'!$J$3:$J$504)+SUMIF('Unos rashoda P4'!$T$3:$T$501,'A.4 RASHODI FUNK'!$A16,'Unos rashoda P4'!$H$3:$H$501)</f>
        <v>0</v>
      </c>
      <c r="D16" s="322">
        <f>SUMIF('Unos rashoda i izdataka'!$R$3:$R$504,'A.4 RASHODI FUNK'!$A16,'Unos rashoda i izdataka'!$K$3:$K$504)+SUMIF('Unos rashoda P4'!$T$3:$T$501,'A.4 RASHODI FUNK'!$A16,'Unos rashoda P4'!$I$3:$I$501)</f>
        <v>0</v>
      </c>
      <c r="E16" s="322">
        <f>SUMIF('Unos rashoda i izdataka'!$R$3:$R$504,'A.4 RASHODI FUNK'!$A16,'Unos rashoda i izdataka'!$L$3:$L$504)+SUMIF('Unos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izdataka'!$R$3:$R$504,'A.4 RASHODI FUNK'!$A17,'Unos rashoda i izdataka'!$J$3:$J$504)+SUMIF('Unos rashoda P4'!$T$3:$T$501,'A.4 RASHODI FUNK'!$A17,'Unos rashoda P4'!$H$3:$H$501)</f>
        <v>0</v>
      </c>
      <c r="D17" s="322">
        <f>SUMIF('Unos rashoda i izdataka'!$R$3:$R$504,'A.4 RASHODI FUNK'!$A17,'Unos rashoda i izdataka'!$K$3:$K$504)+SUMIF('Unos rashoda P4'!$T$3:$T$501,'A.4 RASHODI FUNK'!$A17,'Unos rashoda P4'!$I$3:$I$501)</f>
        <v>0</v>
      </c>
      <c r="E17" s="322">
        <f>SUMIF('Unos rashoda i izdataka'!$R$3:$R$504,'A.4 RASHODI FUNK'!$A17,'Unos rashoda i izdataka'!$L$3:$L$504)+SUMIF('Unos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izdataka'!$R$3:$R$504,'A.4 RASHODI FUNK'!$A18,'Unos rashoda i izdataka'!$J$3:$J$504)+SUMIF('Unos rashoda P4'!$T$3:$T$501,'A.4 RASHODI FUNK'!$A18,'Unos rashoda P4'!$H$3:$H$501)</f>
        <v>0</v>
      </c>
      <c r="D18" s="322">
        <f>SUMIF('Unos rashoda i izdataka'!$R$3:$R$504,'A.4 RASHODI FUNK'!$A18,'Unos rashoda i izdataka'!$K$3:$K$504)+SUMIF('Unos rashoda P4'!$T$3:$T$501,'A.4 RASHODI FUNK'!$A18,'Unos rashoda P4'!$I$3:$I$501)</f>
        <v>0</v>
      </c>
      <c r="E18" s="322">
        <f>SUMIF('Unos rashoda i izdataka'!$R$3:$R$504,'A.4 RASHODI FUNK'!$A18,'Unos rashoda i izdataka'!$L$3:$L$504)+SUMIF('Unos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izdataka'!$R$3:$R$504,'A.4 RASHODI FUNK'!$A19,'Unos rashoda i izdataka'!$J$3:$J$504)+SUMIF('Unos rashoda P4'!$T$3:$T$501,'A.4 RASHODI FUNK'!$A19,'Unos rashoda P4'!$H$3:$H$501)</f>
        <v>0</v>
      </c>
      <c r="D19" s="322">
        <f>SUMIF('Unos rashoda i izdataka'!$R$3:$R$504,'A.4 RASHODI FUNK'!$A19,'Unos rashoda i izdataka'!$K$3:$K$504)+SUMIF('Unos rashoda P4'!$T$3:$T$501,'A.4 RASHODI FUNK'!$A19,'Unos rashoda P4'!$I$3:$I$501)</f>
        <v>0</v>
      </c>
      <c r="E19" s="322">
        <f>SUMIF('Unos rashoda i izdataka'!$R$3:$R$504,'A.4 RASHODI FUNK'!$A19,'Unos rashoda i izdataka'!$L$3:$L$504)+SUMIF('Unos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izdataka'!$R$3:$R$504,'A.4 RASHODI FUNK'!$A20,'Unos rashoda i izdataka'!$J$3:$J$504)+SUMIF('Unos rashoda P4'!$T$3:$T$501,'A.4 RASHODI FUNK'!$A20,'Unos rashoda P4'!$H$3:$H$501)</f>
        <v>0</v>
      </c>
      <c r="D20" s="322">
        <f>SUMIF('Unos rashoda i izdataka'!$R$3:$R$504,'A.4 RASHODI FUNK'!$A20,'Unos rashoda i izdataka'!$K$3:$K$504)+SUMIF('Unos rashoda P4'!$T$3:$T$501,'A.4 RASHODI FUNK'!$A20,'Unos rashoda P4'!$I$3:$I$501)</f>
        <v>0</v>
      </c>
      <c r="E20" s="322">
        <f>SUMIF('Unos rashoda i izdataka'!$R$3:$R$504,'A.4 RASHODI FUNK'!$A20,'Unos rashoda i izdataka'!$L$3:$L$504)+SUMIF('Unos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izdataka'!$R$3:$R$504,'A.4 RASHODI FUNK'!$A22,'Unos rashoda i izdataka'!$J$3:$J$504)+SUMIF('Unos rashoda P4'!$T$3:$T$501,'A.4 RASHODI FUNK'!$A22,'Unos rashoda P4'!$H$3:$H$501)</f>
        <v>0</v>
      </c>
      <c r="D22" s="322">
        <f>SUMIF('Unos rashoda i izdataka'!$R$3:$R$504,'A.4 RASHODI FUNK'!$A22,'Unos rashoda i izdataka'!$K$3:$K$504)+SUMIF('Unos rashoda P4'!$T$3:$T$501,'A.4 RASHODI FUNK'!$A22,'Unos rashoda P4'!$I$3:$I$501)</f>
        <v>0</v>
      </c>
      <c r="E22" s="322">
        <f>SUMIF('Unos rashoda i izdataka'!$R$3:$R$504,'A.4 RASHODI FUNK'!$A22,'Unos rashoda i izdataka'!$L$3:$L$504)+SUMIF('Unos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izdataka'!$R$3:$R$504,'A.4 RASHODI FUNK'!$A23,'Unos rashoda i izdataka'!$J$3:$J$504)+SUMIF('Unos rashoda P4'!$T$3:$T$501,'A.4 RASHODI FUNK'!$A23,'Unos rashoda P4'!$H$3:$H$501)</f>
        <v>0</v>
      </c>
      <c r="D23" s="322">
        <f>SUMIF('Unos rashoda i izdataka'!$R$3:$R$504,'A.4 RASHODI FUNK'!$A23,'Unos rashoda i izdataka'!$K$3:$K$504)+SUMIF('Unos rashoda P4'!$T$3:$T$501,'A.4 RASHODI FUNK'!$A23,'Unos rashoda P4'!$I$3:$I$501)</f>
        <v>0</v>
      </c>
      <c r="E23" s="322">
        <f>SUMIF('Unos rashoda i izdataka'!$R$3:$R$504,'A.4 RASHODI FUNK'!$A23,'Unos rashoda i izdataka'!$L$3:$L$504)+SUMIF('Unos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izdataka'!$R$3:$R$504,'A.4 RASHODI FUNK'!$A24,'Unos rashoda i izdataka'!$J$3:$J$504)+SUMIF('Unos rashoda P4'!$T$3:$T$501,'A.4 RASHODI FUNK'!$A24,'Unos rashoda P4'!$H$3:$H$501)</f>
        <v>0</v>
      </c>
      <c r="D24" s="322">
        <f>SUMIF('Unos rashoda i izdataka'!$R$3:$R$504,'A.4 RASHODI FUNK'!$A24,'Unos rashoda i izdataka'!$K$3:$K$504)+SUMIF('Unos rashoda P4'!$T$3:$T$501,'A.4 RASHODI FUNK'!$A24,'Unos rashoda P4'!$I$3:$I$501)</f>
        <v>0</v>
      </c>
      <c r="E24" s="322">
        <f>SUMIF('Unos rashoda i izdataka'!$R$3:$R$504,'A.4 RASHODI FUNK'!$A24,'Unos rashoda i izdataka'!$L$3:$L$504)+SUMIF('Unos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izdataka'!$R$3:$R$504,'A.4 RASHODI FUNK'!$A25,'Unos rashoda i izdataka'!$J$3:$J$504)+SUMIF('Unos rashoda P4'!$T$3:$T$501,'A.4 RASHODI FUNK'!$A25,'Unos rashoda P4'!$H$3:$H$501)</f>
        <v>0</v>
      </c>
      <c r="D25" s="322">
        <f>SUMIF('Unos rashoda i izdataka'!$R$3:$R$504,'A.4 RASHODI FUNK'!$A25,'Unos rashoda i izdataka'!$K$3:$K$504)+SUMIF('Unos rashoda P4'!$T$3:$T$501,'A.4 RASHODI FUNK'!$A25,'Unos rashoda P4'!$I$3:$I$501)</f>
        <v>0</v>
      </c>
      <c r="E25" s="322">
        <f>SUMIF('Unos rashoda i izdataka'!$R$3:$R$504,'A.4 RASHODI FUNK'!$A25,'Unos rashoda i izdataka'!$L$3:$L$504)+SUMIF('Unos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izdataka'!$R$3:$R$504,'A.4 RASHODI FUNK'!$A26,'Unos rashoda i izdataka'!$J$3:$J$504)+SUMIF('Unos rashoda P4'!$T$3:$T$501,'A.4 RASHODI FUNK'!$A26,'Unos rashoda P4'!$H$3:$H$501)</f>
        <v>0</v>
      </c>
      <c r="D26" s="322">
        <f>SUMIF('Unos rashoda i izdataka'!$R$3:$R$504,'A.4 RASHODI FUNK'!$A26,'Unos rashoda i izdataka'!$K$3:$K$504)+SUMIF('Unos rashoda P4'!$T$3:$T$501,'A.4 RASHODI FUNK'!$A26,'Unos rashoda P4'!$I$3:$I$501)</f>
        <v>0</v>
      </c>
      <c r="E26" s="322">
        <f>SUMIF('Unos rashoda i izdataka'!$R$3:$R$504,'A.4 RASHODI FUNK'!$A26,'Unos rashoda i izdataka'!$L$3:$L$504)+SUMIF('Unos rashoda P4'!$T$3:$T$501,'A.4 RASHODI FUNK'!$A26,'Unos rashoda P4'!$J$3:$J$501)</f>
        <v>0</v>
      </c>
    </row>
    <row r="27" spans="1:5" ht="27.6">
      <c r="A27" s="315">
        <v>36</v>
      </c>
      <c r="B27" s="43" t="s">
        <v>5198</v>
      </c>
      <c r="C27" s="322">
        <f>SUMIF('Unos rashoda i izdataka'!$R$3:$R$504,'A.4 RASHODI FUNK'!$A27,'Unos rashoda i izdataka'!$J$3:$J$504)+SUMIF('Unos rashoda P4'!$T$3:$T$501,'A.4 RASHODI FUNK'!$A27,'Unos rashoda P4'!$H$3:$H$501)</f>
        <v>0</v>
      </c>
      <c r="D27" s="322">
        <f>SUMIF('Unos rashoda i izdataka'!$R$3:$R$504,'A.4 RASHODI FUNK'!$A27,'Unos rashoda i izdataka'!$K$3:$K$504)+SUMIF('Unos rashoda P4'!$T$3:$T$501,'A.4 RASHODI FUNK'!$A27,'Unos rashoda P4'!$I$3:$I$501)</f>
        <v>0</v>
      </c>
      <c r="E27" s="322">
        <f>SUMIF('Unos rashoda i izdataka'!$R$3:$R$504,'A.4 RASHODI FUNK'!$A27,'Unos rashoda i izdataka'!$L$3:$L$504)+SUMIF('Unos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3148</v>
      </c>
      <c r="E28" s="328">
        <f>SUM(E29:E37)</f>
        <v>3148</v>
      </c>
    </row>
    <row r="29" spans="1:5">
      <c r="A29" s="315">
        <v>41</v>
      </c>
      <c r="B29" s="43" t="s">
        <v>5200</v>
      </c>
      <c r="C29" s="322">
        <f>SUMIF('Unos rashoda i izdataka'!$R$3:$R$504,'A.4 RASHODI FUNK'!$A29,'Unos rashoda i izdataka'!$J$3:$J$504)+SUMIF('Unos rashoda P4'!$T$3:$T$501,'A.4 RASHODI FUNK'!$A29,'Unos rashoda P4'!$H$3:$H$501)</f>
        <v>0</v>
      </c>
      <c r="D29" s="322">
        <f>SUMIF('Unos rashoda i izdataka'!$R$3:$R$504,'A.4 RASHODI FUNK'!$A29,'Unos rashoda i izdataka'!$K$3:$K$504)+SUMIF('Unos rashoda P4'!$T$3:$T$501,'A.4 RASHODI FUNK'!$A29,'Unos rashoda P4'!$I$3:$I$501)</f>
        <v>0</v>
      </c>
      <c r="E29" s="322">
        <f>SUMIF('Unos rashoda i izdataka'!$R$3:$R$504,'A.4 RASHODI FUNK'!$A29,'Unos rashoda i izdataka'!$L$3:$L$504)+SUMIF('Unos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izdataka'!$R$3:$R$504,'A.4 RASHODI FUNK'!$A30,'Unos rashoda i izdataka'!$J$3:$J$504)+SUMIF('Unos rashoda P4'!$T$3:$T$501,'A.4 RASHODI FUNK'!$A30,'Unos rashoda P4'!$H$3:$H$501)</f>
        <v>0</v>
      </c>
      <c r="D30" s="322">
        <f>SUMIF('Unos rashoda i izdataka'!$R$3:$R$504,'A.4 RASHODI FUNK'!$A30,'Unos rashoda i izdataka'!$K$3:$K$504)+SUMIF('Unos rashoda P4'!$T$3:$T$501,'A.4 RASHODI FUNK'!$A30,'Unos rashoda P4'!$I$3:$I$501)</f>
        <v>3148</v>
      </c>
      <c r="E30" s="322">
        <f>SUMIF('Unos rashoda i izdataka'!$R$3:$R$504,'A.4 RASHODI FUNK'!$A30,'Unos rashoda i izdataka'!$L$3:$L$504)+SUMIF('Unos rashoda P4'!$T$3:$T$501,'A.4 RASHODI FUNK'!$A30,'Unos rashoda P4'!$J$3:$J$501)</f>
        <v>3148</v>
      </c>
    </row>
    <row r="31" spans="1:5">
      <c r="A31" s="315">
        <v>43</v>
      </c>
      <c r="B31" s="43" t="s">
        <v>5202</v>
      </c>
      <c r="C31" s="322">
        <f>SUMIF('Unos rashoda i izdataka'!$R$3:$R$504,'A.4 RASHODI FUNK'!$A31,'Unos rashoda i izdataka'!$J$3:$J$504)+SUMIF('Unos rashoda P4'!$T$3:$T$501,'A.4 RASHODI FUNK'!$A31,'Unos rashoda P4'!$H$3:$H$501)</f>
        <v>0</v>
      </c>
      <c r="D31" s="322">
        <f>SUMIF('Unos rashoda i izdataka'!$R$3:$R$504,'A.4 RASHODI FUNK'!$A31,'Unos rashoda i izdataka'!$K$3:$K$504)+SUMIF('Unos rashoda P4'!$T$3:$T$501,'A.4 RASHODI FUNK'!$A31,'Unos rashoda P4'!$I$3:$I$501)</f>
        <v>0</v>
      </c>
      <c r="E31" s="322">
        <f>SUMIF('Unos rashoda i izdataka'!$R$3:$R$504,'A.4 RASHODI FUNK'!$A31,'Unos rashoda i izdataka'!$L$3:$L$504)+SUMIF('Unos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izdataka'!$R$3:$R$504,'A.4 RASHODI FUNK'!$A32,'Unos rashoda i izdataka'!$J$3:$J$504)+SUMIF('Unos rashoda P4'!$T$3:$T$501,'A.4 RASHODI FUNK'!$A32,'Unos rashoda P4'!$H$3:$H$501)</f>
        <v>0</v>
      </c>
      <c r="D32" s="322">
        <f>SUMIF('Unos rashoda i izdataka'!$R$3:$R$504,'A.4 RASHODI FUNK'!$A32,'Unos rashoda i izdataka'!$K$3:$K$504)+SUMIF('Unos rashoda P4'!$T$3:$T$501,'A.4 RASHODI FUNK'!$A32,'Unos rashoda P4'!$I$3:$I$501)</f>
        <v>0</v>
      </c>
      <c r="E32" s="322">
        <f>SUMIF('Unos rashoda i izdataka'!$R$3:$R$504,'A.4 RASHODI FUNK'!$A32,'Unos rashoda i izdataka'!$L$3:$L$504)+SUMIF('Unos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izdataka'!$R$3:$R$504,'A.4 RASHODI FUNK'!$A33,'Unos rashoda i izdataka'!$J$3:$J$504)+SUMIF('Unos rashoda P4'!$T$3:$T$501,'A.4 RASHODI FUNK'!$A33,'Unos rashoda P4'!$H$3:$H$501)</f>
        <v>0</v>
      </c>
      <c r="D33" s="322">
        <f>SUMIF('Unos rashoda i izdataka'!$R$3:$R$504,'A.4 RASHODI FUNK'!$A33,'Unos rashoda i izdataka'!$K$3:$K$504)+SUMIF('Unos rashoda P4'!$T$3:$T$501,'A.4 RASHODI FUNK'!$A33,'Unos rashoda P4'!$I$3:$I$501)</f>
        <v>0</v>
      </c>
      <c r="E33" s="322">
        <f>SUMIF('Unos rashoda i izdataka'!$R$3:$R$504,'A.4 RASHODI FUNK'!$A33,'Unos rashoda i izdataka'!$L$3:$L$504)+SUMIF('Unos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izdataka'!$R$3:$R$504,'A.4 RASHODI FUNK'!$A34,'Unos rashoda i izdataka'!$J$3:$J$504)+SUMIF('Unos rashoda P4'!$T$3:$T$501,'A.4 RASHODI FUNK'!$A34,'Unos rashoda P4'!$H$3:$H$501)</f>
        <v>0</v>
      </c>
      <c r="D34" s="322">
        <f>SUMIF('Unos rashoda i izdataka'!$R$3:$R$504,'A.4 RASHODI FUNK'!$A34,'Unos rashoda i izdataka'!$K$3:$K$504)+SUMIF('Unos rashoda P4'!$T$3:$T$501,'A.4 RASHODI FUNK'!$A34,'Unos rashoda P4'!$I$3:$I$501)</f>
        <v>0</v>
      </c>
      <c r="E34" s="322">
        <f>SUMIF('Unos rashoda i izdataka'!$R$3:$R$504,'A.4 RASHODI FUNK'!$A34,'Unos rashoda i izdataka'!$L$3:$L$504)+SUMIF('Unos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izdataka'!$R$3:$R$504,'A.4 RASHODI FUNK'!$A35,'Unos rashoda i izdataka'!$J$3:$J$504)+SUMIF('Unos rashoda P4'!$T$3:$T$501,'A.4 RASHODI FUNK'!$A35,'Unos rashoda P4'!$H$3:$H$501)</f>
        <v>0</v>
      </c>
      <c r="D35" s="322">
        <f>SUMIF('Unos rashoda i izdataka'!$R$3:$R$504,'A.4 RASHODI FUNK'!$A35,'Unos rashoda i izdataka'!$K$3:$K$504)+SUMIF('Unos rashoda P4'!$T$3:$T$501,'A.4 RASHODI FUNK'!$A35,'Unos rashoda P4'!$I$3:$I$501)</f>
        <v>0</v>
      </c>
      <c r="E35" s="322">
        <f>SUMIF('Unos rashoda i izdataka'!$R$3:$R$504,'A.4 RASHODI FUNK'!$A35,'Unos rashoda i izdataka'!$L$3:$L$504)+SUMIF('Unos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izdataka'!$R$3:$R$504,'A.4 RASHODI FUNK'!$A36,'Unos rashoda i izdataka'!$J$3:$J$504)+SUMIF('Unos rashoda P4'!$T$3:$T$501,'A.4 RASHODI FUNK'!$A36,'Unos rashoda P4'!$H$3:$H$501)</f>
        <v>0</v>
      </c>
      <c r="D36" s="322">
        <f>SUMIF('Unos rashoda i izdataka'!$R$3:$R$504,'A.4 RASHODI FUNK'!$A36,'Unos rashoda i izdataka'!$K$3:$K$504)+SUMIF('Unos rashoda P4'!$T$3:$T$501,'A.4 RASHODI FUNK'!$A36,'Unos rashoda P4'!$I$3:$I$501)</f>
        <v>0</v>
      </c>
      <c r="E36" s="322">
        <f>SUMIF('Unos rashoda i izdataka'!$R$3:$R$504,'A.4 RASHODI FUNK'!$A36,'Unos rashoda i izdataka'!$L$3:$L$504)+SUMIF('Unos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izdataka'!$R$3:$R$504,'A.4 RASHODI FUNK'!$A37,'Unos rashoda i izdataka'!$J$3:$J$504)+SUMIF('Unos rashoda P4'!$T$3:$T$501,'A.4 RASHODI FUNK'!$A37,'Unos rashoda P4'!$H$3:$H$501)</f>
        <v>0</v>
      </c>
      <c r="D37" s="322">
        <f>SUMIF('Unos rashoda i izdataka'!$R$3:$R$504,'A.4 RASHODI FUNK'!$A37,'Unos rashoda i izdataka'!$K$3:$K$504)+SUMIF('Unos rashoda P4'!$T$3:$T$501,'A.4 RASHODI FUNK'!$A37,'Unos rashoda P4'!$I$3:$I$501)</f>
        <v>0</v>
      </c>
      <c r="E37" s="322">
        <f>SUMIF('Unos rashoda i izdataka'!$R$3:$R$504,'A.4 RASHODI FUNK'!$A37,'Unos rashoda i izdataka'!$L$3:$L$504)+SUMIF('Unos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izdataka'!$R$3:$R$504,'A.4 RASHODI FUNK'!$A39,'Unos rashoda i izdataka'!$J$3:$J$504)+SUMIF('Unos rashoda P4'!$T$3:$T$501,'A.4 RASHODI FUNK'!$A39,'Unos rashoda P4'!$H$3:$H$501)</f>
        <v>0</v>
      </c>
      <c r="D39" s="322">
        <f>SUMIF('Unos rashoda i izdataka'!$R$3:$R$504,'A.4 RASHODI FUNK'!$A39,'Unos rashoda i izdataka'!$K$3:$K$504)+SUMIF('Unos rashoda P4'!$T$3:$T$501,'A.4 RASHODI FUNK'!$A39,'Unos rashoda P4'!$I$3:$I$501)</f>
        <v>0</v>
      </c>
      <c r="E39" s="322">
        <f>SUMIF('Unos rashoda i izdataka'!$R$3:$R$504,'A.4 RASHODI FUNK'!$A39,'Unos rashoda i izdataka'!$L$3:$L$504)+SUMIF('Unos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izdataka'!$R$3:$R$504,'A.4 RASHODI FUNK'!$A40,'Unos rashoda i izdataka'!$J$3:$J$504)+SUMIF('Unos rashoda P4'!$T$3:$T$501,'A.4 RASHODI FUNK'!$A40,'Unos rashoda P4'!$H$3:$H$501)</f>
        <v>0</v>
      </c>
      <c r="D40" s="322">
        <f>SUMIF('Unos rashoda i izdataka'!$R$3:$R$504,'A.4 RASHODI FUNK'!$A40,'Unos rashoda i izdataka'!$K$3:$K$504)+SUMIF('Unos rashoda P4'!$T$3:$T$501,'A.4 RASHODI FUNK'!$A40,'Unos rashoda P4'!$I$3:$I$501)</f>
        <v>0</v>
      </c>
      <c r="E40" s="322">
        <f>SUMIF('Unos rashoda i izdataka'!$R$3:$R$504,'A.4 RASHODI FUNK'!$A40,'Unos rashoda i izdataka'!$L$3:$L$504)+SUMIF('Unos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izdataka'!$R$3:$R$504,'A.4 RASHODI FUNK'!$A41,'Unos rashoda i izdataka'!$J$3:$J$504)+SUMIF('Unos rashoda P4'!$T$3:$T$501,'A.4 RASHODI FUNK'!$A41,'Unos rashoda P4'!$H$3:$H$501)</f>
        <v>0</v>
      </c>
      <c r="D41" s="322">
        <f>SUMIF('Unos rashoda i izdataka'!$R$3:$R$504,'A.4 RASHODI FUNK'!$A41,'Unos rashoda i izdataka'!$K$3:$K$504)+SUMIF('Unos rashoda P4'!$T$3:$T$501,'A.4 RASHODI FUNK'!$A41,'Unos rashoda P4'!$I$3:$I$501)</f>
        <v>0</v>
      </c>
      <c r="E41" s="322">
        <f>SUMIF('Unos rashoda i izdataka'!$R$3:$R$504,'A.4 RASHODI FUNK'!$A41,'Unos rashoda i izdataka'!$L$3:$L$504)+SUMIF('Unos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izdataka'!$R$3:$R$504,'A.4 RASHODI FUNK'!$A42,'Unos rashoda i izdataka'!$J$3:$J$504)+SUMIF('Unos rashoda P4'!$T$3:$T$501,'A.4 RASHODI FUNK'!$A42,'Unos rashoda P4'!$H$3:$H$501)</f>
        <v>0</v>
      </c>
      <c r="D42" s="322">
        <f>SUMIF('Unos rashoda i izdataka'!$R$3:$R$504,'A.4 RASHODI FUNK'!$A42,'Unos rashoda i izdataka'!$K$3:$K$504)+SUMIF('Unos rashoda P4'!$T$3:$T$501,'A.4 RASHODI FUNK'!$A42,'Unos rashoda P4'!$I$3:$I$501)</f>
        <v>0</v>
      </c>
      <c r="E42" s="322">
        <f>SUMIF('Unos rashoda i izdataka'!$R$3:$R$504,'A.4 RASHODI FUNK'!$A42,'Unos rashoda i izdataka'!$L$3:$L$504)+SUMIF('Unos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izdataka'!$R$3:$R$504,'A.4 RASHODI FUNK'!$A43,'Unos rashoda i izdataka'!$J$3:$J$504)+SUMIF('Unos rashoda P4'!$T$3:$T$501,'A.4 RASHODI FUNK'!$A43,'Unos rashoda P4'!$H$3:$H$501)</f>
        <v>0</v>
      </c>
      <c r="D43" s="322">
        <f>SUMIF('Unos rashoda i izdataka'!$R$3:$R$504,'A.4 RASHODI FUNK'!$A43,'Unos rashoda i izdataka'!$K$3:$K$504)+SUMIF('Unos rashoda P4'!$T$3:$T$501,'A.4 RASHODI FUNK'!$A43,'Unos rashoda P4'!$I$3:$I$501)</f>
        <v>0</v>
      </c>
      <c r="E43" s="322">
        <f>SUMIF('Unos rashoda i izdataka'!$R$3:$R$504,'A.4 RASHODI FUNK'!$A43,'Unos rashoda i izdataka'!$L$3:$L$504)+SUMIF('Unos rashoda P4'!$T$3:$T$501,'A.4 RASHODI FUNK'!$A43,'Unos rashoda P4'!$J$3:$J$501)</f>
        <v>0</v>
      </c>
    </row>
    <row r="44" spans="1:5" ht="27.6">
      <c r="A44" s="315">
        <v>56</v>
      </c>
      <c r="B44" s="43" t="s">
        <v>5214</v>
      </c>
      <c r="C44" s="322">
        <f>SUMIF('Unos rashoda i izdataka'!$R$3:$R$504,'A.4 RASHODI FUNK'!$A44,'Unos rashoda i izdataka'!$J$3:$J$504)+SUMIF('Unos rashoda P4'!$T$3:$T$501,'A.4 RASHODI FUNK'!$A44,'Unos rashoda P4'!$H$3:$H$501)</f>
        <v>0</v>
      </c>
      <c r="D44" s="322">
        <f>SUMIF('Unos rashoda i izdataka'!$R$3:$R$504,'A.4 RASHODI FUNK'!$A44,'Unos rashoda i izdataka'!$K$3:$K$504)+SUMIF('Unos rashoda P4'!$T$3:$T$501,'A.4 RASHODI FUNK'!$A44,'Unos rashoda P4'!$I$3:$I$501)</f>
        <v>0</v>
      </c>
      <c r="E44" s="322">
        <f>SUMIF('Unos rashoda i izdataka'!$R$3:$R$504,'A.4 RASHODI FUNK'!$A44,'Unos rashoda i izdataka'!$L$3:$L$504)+SUMIF('Unos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izdataka'!$R$3:$R$504,'A.4 RASHODI FUNK'!$A46,'Unos rashoda i izdataka'!$J$3:$J$504)+SUMIF('Unos rashoda P4'!$T$3:$T$501,'A.4 RASHODI FUNK'!$A46,'Unos rashoda P4'!$H$3:$H$501)</f>
        <v>0</v>
      </c>
      <c r="D46" s="322">
        <f>SUMIF('Unos rashoda i izdataka'!$R$3:$R$504,'A.4 RASHODI FUNK'!$A46,'Unos rashoda i izdataka'!$K$3:$K$504)+SUMIF('Unos rashoda P4'!$T$3:$T$501,'A.4 RASHODI FUNK'!$A46,'Unos rashoda P4'!$I$3:$I$501)</f>
        <v>0</v>
      </c>
      <c r="E46" s="322">
        <f>SUMIF('Unos rashoda i izdataka'!$R$3:$R$504,'A.4 RASHODI FUNK'!$A46,'Unos rashoda i izdataka'!$L$3:$L$504)+SUMIF('Unos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izdataka'!$R$3:$R$504,'A.4 RASHODI FUNK'!$A47,'Unos rashoda i izdataka'!$J$3:$J$504)+SUMIF('Unos rashoda P4'!$T$3:$T$501,'A.4 RASHODI FUNK'!$A47,'Unos rashoda P4'!$H$3:$H$501)</f>
        <v>0</v>
      </c>
      <c r="D47" s="322">
        <f>SUMIF('Unos rashoda i izdataka'!$R$3:$R$504,'A.4 RASHODI FUNK'!$A47,'Unos rashoda i izdataka'!$K$3:$K$504)+SUMIF('Unos rashoda P4'!$T$3:$T$501,'A.4 RASHODI FUNK'!$A47,'Unos rashoda P4'!$I$3:$I$501)</f>
        <v>0</v>
      </c>
      <c r="E47" s="322">
        <f>SUMIF('Unos rashoda i izdataka'!$R$3:$R$504,'A.4 RASHODI FUNK'!$A47,'Unos rashoda i izdataka'!$L$3:$L$504)+SUMIF('Unos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izdataka'!$R$3:$R$504,'A.4 RASHODI FUNK'!$A48,'Unos rashoda i izdataka'!$J$3:$J$504)+SUMIF('Unos rashoda P4'!$T$3:$T$501,'A.4 RASHODI FUNK'!$A48,'Unos rashoda P4'!$H$3:$H$501)</f>
        <v>0</v>
      </c>
      <c r="D48" s="322">
        <f>SUMIF('Unos rashoda i izdataka'!$R$3:$R$504,'A.4 RASHODI FUNK'!$A48,'Unos rashoda i izdataka'!$K$3:$K$504)+SUMIF('Unos rashoda P4'!$T$3:$T$501,'A.4 RASHODI FUNK'!$A48,'Unos rashoda P4'!$I$3:$I$501)</f>
        <v>0</v>
      </c>
      <c r="E48" s="322">
        <f>SUMIF('Unos rashoda i izdataka'!$R$3:$R$504,'A.4 RASHODI FUNK'!$A48,'Unos rashoda i izdataka'!$L$3:$L$504)+SUMIF('Unos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izdataka'!$R$3:$R$504,'A.4 RASHODI FUNK'!$A49,'Unos rashoda i izdataka'!$J$3:$J$504)+SUMIF('Unos rashoda P4'!$T$3:$T$501,'A.4 RASHODI FUNK'!$A49,'Unos rashoda P4'!$H$3:$H$501)</f>
        <v>0</v>
      </c>
      <c r="D49" s="322">
        <f>SUMIF('Unos rashoda i izdataka'!$R$3:$R$504,'A.4 RASHODI FUNK'!$A49,'Unos rashoda i izdataka'!$K$3:$K$504)+SUMIF('Unos rashoda P4'!$T$3:$T$501,'A.4 RASHODI FUNK'!$A49,'Unos rashoda P4'!$I$3:$I$501)</f>
        <v>0</v>
      </c>
      <c r="E49" s="322">
        <f>SUMIF('Unos rashoda i izdataka'!$R$3:$R$504,'A.4 RASHODI FUNK'!$A49,'Unos rashoda i izdataka'!$L$3:$L$504)+SUMIF('Unos rashoda P4'!$T$3:$T$501,'A.4 RASHODI FUNK'!$A49,'Unos rashoda P4'!$J$3:$J$501)</f>
        <v>0</v>
      </c>
    </row>
    <row r="50" spans="1:5" ht="27.6">
      <c r="A50" s="315">
        <v>65</v>
      </c>
      <c r="B50" s="43" t="s">
        <v>5220</v>
      </c>
      <c r="C50" s="322">
        <f>SUMIF('Unos rashoda i izdataka'!$R$3:$R$504,'A.4 RASHODI FUNK'!$A50,'Unos rashoda i izdataka'!$J$3:$J$504)+SUMIF('Unos rashoda P4'!$T$3:$T$501,'A.4 RASHODI FUNK'!$A50,'Unos rashoda P4'!$H$3:$H$501)</f>
        <v>0</v>
      </c>
      <c r="D50" s="322">
        <f>SUMIF('Unos rashoda i izdataka'!$R$3:$R$504,'A.4 RASHODI FUNK'!$A50,'Unos rashoda i izdataka'!$K$3:$K$504)+SUMIF('Unos rashoda P4'!$T$3:$T$501,'A.4 RASHODI FUNK'!$A50,'Unos rashoda P4'!$I$3:$I$501)</f>
        <v>0</v>
      </c>
      <c r="E50" s="322">
        <f>SUMIF('Unos rashoda i izdataka'!$R$3:$R$504,'A.4 RASHODI FUNK'!$A50,'Unos rashoda i izdataka'!$L$3:$L$504)+SUMIF('Unos rashoda P4'!$T$3:$T$501,'A.4 RASHODI FUNK'!$A50,'Unos rashoda P4'!$J$3:$J$501)</f>
        <v>0</v>
      </c>
    </row>
    <row r="51" spans="1:5" ht="27.6">
      <c r="A51" s="315">
        <v>66</v>
      </c>
      <c r="B51" s="43" t="s">
        <v>5221</v>
      </c>
      <c r="C51" s="322">
        <f>SUMIF('Unos rashoda i izdataka'!$R$3:$R$504,'A.4 RASHODI FUNK'!$A51,'Unos rashoda i izdataka'!$J$3:$J$504)+SUMIF('Unos rashoda P4'!$T$3:$T$501,'A.4 RASHODI FUNK'!$A51,'Unos rashoda P4'!$H$3:$H$501)</f>
        <v>0</v>
      </c>
      <c r="D51" s="322">
        <f>SUMIF('Unos rashoda i izdataka'!$R$3:$R$504,'A.4 RASHODI FUNK'!$A51,'Unos rashoda i izdataka'!$K$3:$K$504)+SUMIF('Unos rashoda P4'!$T$3:$T$501,'A.4 RASHODI FUNK'!$A51,'Unos rashoda P4'!$I$3:$I$501)</f>
        <v>0</v>
      </c>
      <c r="E51" s="322">
        <f>SUMIF('Unos rashoda i izdataka'!$R$3:$R$504,'A.4 RASHODI FUNK'!$A51,'Unos rashoda i izdataka'!$L$3:$L$504)+SUMIF('Unos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izdataka'!$R$3:$R$504,'A.4 RASHODI FUNK'!$A53,'Unos rashoda i izdataka'!$J$3:$J$504)+SUMIF('Unos rashoda P4'!$T$3:$T$501,'A.4 RASHODI FUNK'!$A53,'Unos rashoda P4'!$H$3:$H$501)</f>
        <v>0</v>
      </c>
      <c r="D53" s="322">
        <f>SUMIF('Unos rashoda i izdataka'!$R$3:$R$504,'A.4 RASHODI FUNK'!$A53,'Unos rashoda i izdataka'!$K$3:$K$504)+SUMIF('Unos rashoda P4'!$T$3:$T$501,'A.4 RASHODI FUNK'!$A53,'Unos rashoda P4'!$I$3:$I$501)</f>
        <v>0</v>
      </c>
      <c r="E53" s="322">
        <f>SUMIF('Unos rashoda i izdataka'!$R$3:$R$504,'A.4 RASHODI FUNK'!$A53,'Unos rashoda i izdataka'!$L$3:$L$504)+SUMIF('Unos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izdataka'!$R$3:$R$504,'A.4 RASHODI FUNK'!$A54,'Unos rashoda i izdataka'!$J$3:$J$504)+SUMIF('Unos rashoda P4'!$T$3:$T$501,'A.4 RASHODI FUNK'!$A54,'Unos rashoda P4'!$H$3:$H$501)</f>
        <v>0</v>
      </c>
      <c r="D54" s="322">
        <f>SUMIF('Unos rashoda i izdataka'!$R$3:$R$504,'A.4 RASHODI FUNK'!$A54,'Unos rashoda i izdataka'!$K$3:$K$504)+SUMIF('Unos rashoda P4'!$T$3:$T$501,'A.4 RASHODI FUNK'!$A54,'Unos rashoda P4'!$I$3:$I$501)</f>
        <v>0</v>
      </c>
      <c r="E54" s="322">
        <f>SUMIF('Unos rashoda i izdataka'!$R$3:$R$504,'A.4 RASHODI FUNK'!$A54,'Unos rashoda i izdataka'!$L$3:$L$504)+SUMIF('Unos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izdataka'!$R$3:$R$504,'A.4 RASHODI FUNK'!$A55,'Unos rashoda i izdataka'!$J$3:$J$504)+SUMIF('Unos rashoda P4'!$T$3:$T$501,'A.4 RASHODI FUNK'!$A55,'Unos rashoda P4'!$H$3:$H$501)</f>
        <v>0</v>
      </c>
      <c r="D55" s="322">
        <f>SUMIF('Unos rashoda i izdataka'!$R$3:$R$504,'A.4 RASHODI FUNK'!$A55,'Unos rashoda i izdataka'!$K$3:$K$504)+SUMIF('Unos rashoda P4'!$T$3:$T$501,'A.4 RASHODI FUNK'!$A55,'Unos rashoda P4'!$I$3:$I$501)</f>
        <v>0</v>
      </c>
      <c r="E55" s="322">
        <f>SUMIF('Unos rashoda i izdataka'!$R$3:$R$504,'A.4 RASHODI FUNK'!$A55,'Unos rashoda i izdataka'!$L$3:$L$504)+SUMIF('Unos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izdataka'!$R$3:$R$504,'A.4 RASHODI FUNK'!$A56,'Unos rashoda i izdataka'!$J$3:$J$504)+SUMIF('Unos rashoda P4'!$T$3:$T$501,'A.4 RASHODI FUNK'!$A56,'Unos rashoda P4'!$H$3:$H$501)</f>
        <v>0</v>
      </c>
      <c r="D56" s="322">
        <f>SUMIF('Unos rashoda i izdataka'!$R$3:$R$504,'A.4 RASHODI FUNK'!$A56,'Unos rashoda i izdataka'!$K$3:$K$504)+SUMIF('Unos rashoda P4'!$T$3:$T$501,'A.4 RASHODI FUNK'!$A56,'Unos rashoda P4'!$I$3:$I$501)</f>
        <v>0</v>
      </c>
      <c r="E56" s="322">
        <f>SUMIF('Unos rashoda i izdataka'!$R$3:$R$504,'A.4 RASHODI FUNK'!$A56,'Unos rashoda i izdataka'!$L$3:$L$504)+SUMIF('Unos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izdataka'!$R$3:$R$504,'A.4 RASHODI FUNK'!$A57,'Unos rashoda i izdataka'!$J$3:$J$504)+SUMIF('Unos rashoda P4'!$T$3:$T$501,'A.4 RASHODI FUNK'!$A57,'Unos rashoda P4'!$H$3:$H$501)</f>
        <v>0</v>
      </c>
      <c r="D57" s="322">
        <f>SUMIF('Unos rashoda i izdataka'!$R$3:$R$504,'A.4 RASHODI FUNK'!$A57,'Unos rashoda i izdataka'!$K$3:$K$504)+SUMIF('Unos rashoda P4'!$T$3:$T$501,'A.4 RASHODI FUNK'!$A57,'Unos rashoda P4'!$I$3:$I$501)</f>
        <v>0</v>
      </c>
      <c r="E57" s="322">
        <f>SUMIF('Unos rashoda i izdataka'!$R$3:$R$504,'A.4 RASHODI FUNK'!$A57,'Unos rashoda i izdataka'!$L$3:$L$504)+SUMIF('Unos rashoda P4'!$T$3:$T$501,'A.4 RASHODI FUNK'!$A57,'Unos rashoda P4'!$J$3:$J$501)</f>
        <v>0</v>
      </c>
    </row>
    <row r="58" spans="1:5">
      <c r="A58" s="315">
        <v>76</v>
      </c>
      <c r="B58" s="43" t="s">
        <v>5228</v>
      </c>
      <c r="C58" s="322">
        <f>SUMIF('Unos rashoda i izdataka'!$R$3:$R$504,'A.4 RASHODI FUNK'!$A58,'Unos rashoda i izdataka'!$J$3:$J$504)+SUMIF('Unos rashoda P4'!$T$3:$T$501,'A.4 RASHODI FUNK'!$A58,'Unos rashoda P4'!$H$3:$H$501)</f>
        <v>0</v>
      </c>
      <c r="D58" s="322">
        <f>SUMIF('Unos rashoda i izdataka'!$R$3:$R$504,'A.4 RASHODI FUNK'!$A58,'Unos rashoda i izdataka'!$K$3:$K$504)+SUMIF('Unos rashoda P4'!$T$3:$T$501,'A.4 RASHODI FUNK'!$A58,'Unos rashoda P4'!$I$3:$I$501)</f>
        <v>0</v>
      </c>
      <c r="E58" s="322">
        <f>SUMIF('Unos rashoda i izdataka'!$R$3:$R$504,'A.4 RASHODI FUNK'!$A58,'Unos rashoda i izdataka'!$L$3:$L$504)+SUMIF('Unos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izdataka'!$R$3:$R$504,'A.4 RASHODI FUNK'!$A60,'Unos rashoda i izdataka'!$J$3:$J$504)+SUMIF('Unos rashoda P4'!$T$3:$T$501,'A.4 RASHODI FUNK'!$A60,'Unos rashoda P4'!$H$3:$H$501)</f>
        <v>0</v>
      </c>
      <c r="D60" s="322">
        <f>SUMIF('Unos rashoda i izdataka'!$R$3:$R$504,'A.4 RASHODI FUNK'!$A60,'Unos rashoda i izdataka'!$K$3:$K$504)+SUMIF('Unos rashoda P4'!$T$3:$T$501,'A.4 RASHODI FUNK'!$A60,'Unos rashoda P4'!$I$3:$I$501)</f>
        <v>0</v>
      </c>
      <c r="E60" s="322">
        <f>SUMIF('Unos rashoda i izdataka'!$R$3:$R$504,'A.4 RASHODI FUNK'!$A60,'Unos rashoda i izdataka'!$L$3:$L$504)+SUMIF('Unos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izdataka'!$R$3:$R$504,'A.4 RASHODI FUNK'!$A61,'Unos rashoda i izdataka'!$J$3:$J$504)+SUMIF('Unos rashoda P4'!$T$3:$T$501,'A.4 RASHODI FUNK'!$A61,'Unos rashoda P4'!$H$3:$H$501)</f>
        <v>0</v>
      </c>
      <c r="D61" s="322">
        <f>SUMIF('Unos rashoda i izdataka'!$R$3:$R$504,'A.4 RASHODI FUNK'!$A61,'Unos rashoda i izdataka'!$K$3:$K$504)+SUMIF('Unos rashoda P4'!$T$3:$T$501,'A.4 RASHODI FUNK'!$A61,'Unos rashoda P4'!$I$3:$I$501)</f>
        <v>0</v>
      </c>
      <c r="E61" s="322">
        <f>SUMIF('Unos rashoda i izdataka'!$R$3:$R$504,'A.4 RASHODI FUNK'!$A61,'Unos rashoda i izdataka'!$L$3:$L$504)+SUMIF('Unos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izdataka'!$R$3:$R$504,'A.4 RASHODI FUNK'!$A62,'Unos rashoda i izdataka'!$J$3:$J$504)+SUMIF('Unos rashoda P4'!$T$3:$T$501,'A.4 RASHODI FUNK'!$A62,'Unos rashoda P4'!$H$3:$H$501)</f>
        <v>0</v>
      </c>
      <c r="D62" s="322">
        <f>SUMIF('Unos rashoda i izdataka'!$R$3:$R$504,'A.4 RASHODI FUNK'!$A62,'Unos rashoda i izdataka'!$K$3:$K$504)+SUMIF('Unos rashoda P4'!$T$3:$T$501,'A.4 RASHODI FUNK'!$A62,'Unos rashoda P4'!$I$3:$I$501)</f>
        <v>0</v>
      </c>
      <c r="E62" s="322">
        <f>SUMIF('Unos rashoda i izdataka'!$R$3:$R$504,'A.4 RASHODI FUNK'!$A62,'Unos rashoda i izdataka'!$L$3:$L$504)+SUMIF('Unos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izdataka'!$R$3:$R$504,'A.4 RASHODI FUNK'!$A63,'Unos rashoda i izdataka'!$J$3:$J$504)+SUMIF('Unos rashoda P4'!$T$3:$T$501,'A.4 RASHODI FUNK'!$A63,'Unos rashoda P4'!$H$3:$H$501)</f>
        <v>0</v>
      </c>
      <c r="D63" s="322">
        <f>SUMIF('Unos rashoda i izdataka'!$R$3:$R$504,'A.4 RASHODI FUNK'!$A63,'Unos rashoda i izdataka'!$K$3:$K$504)+SUMIF('Unos rashoda P4'!$T$3:$T$501,'A.4 RASHODI FUNK'!$A63,'Unos rashoda P4'!$I$3:$I$501)</f>
        <v>0</v>
      </c>
      <c r="E63" s="322">
        <f>SUMIF('Unos rashoda i izdataka'!$R$3:$R$504,'A.4 RASHODI FUNK'!$A63,'Unos rashoda i izdataka'!$L$3:$L$504)+SUMIF('Unos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izdataka'!$R$3:$R$504,'A.4 RASHODI FUNK'!$A64,'Unos rashoda i izdataka'!$J$3:$J$504)+SUMIF('Unos rashoda P4'!$T$3:$T$501,'A.4 RASHODI FUNK'!$A64,'Unos rashoda P4'!$H$3:$H$501)</f>
        <v>0</v>
      </c>
      <c r="D64" s="322">
        <f>SUMIF('Unos rashoda i izdataka'!$R$3:$R$504,'A.4 RASHODI FUNK'!$A64,'Unos rashoda i izdataka'!$K$3:$K$504)+SUMIF('Unos rashoda P4'!$T$3:$T$501,'A.4 RASHODI FUNK'!$A64,'Unos rashoda P4'!$I$3:$I$501)</f>
        <v>0</v>
      </c>
      <c r="E64" s="322">
        <f>SUMIF('Unos rashoda i izdataka'!$R$3:$R$504,'A.4 RASHODI FUNK'!$A64,'Unos rashoda i izdataka'!$L$3:$L$504)+SUMIF('Unos rashoda P4'!$T$3:$T$501,'A.4 RASHODI FUNK'!$A64,'Unos rashoda P4'!$J$3:$J$501)</f>
        <v>0</v>
      </c>
    </row>
    <row r="65" spans="1:5" ht="27.6">
      <c r="A65" s="315">
        <v>86</v>
      </c>
      <c r="B65" s="43" t="s">
        <v>5234</v>
      </c>
      <c r="C65" s="322">
        <f>SUMIF('Unos rashoda i izdataka'!$R$3:$R$504,'A.4 RASHODI FUNK'!$A65,'Unos rashoda i izdataka'!$J$3:$J$504)+SUMIF('Unos rashoda P4'!$T$3:$T$501,'A.4 RASHODI FUNK'!$A65,'Unos rashoda P4'!$H$3:$H$501)</f>
        <v>0</v>
      </c>
      <c r="D65" s="322">
        <f>SUMIF('Unos rashoda i izdataka'!$R$3:$R$504,'A.4 RASHODI FUNK'!$A65,'Unos rashoda i izdataka'!$K$3:$K$504)+SUMIF('Unos rashoda P4'!$T$3:$T$501,'A.4 RASHODI FUNK'!$A65,'Unos rashoda P4'!$I$3:$I$501)</f>
        <v>0</v>
      </c>
      <c r="E65" s="322">
        <f>SUMIF('Unos rashoda i izdataka'!$R$3:$R$504,'A.4 RASHODI FUNK'!$A65,'Unos rashoda i izdataka'!$L$3:$L$504)+SUMIF('Unos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5810452</v>
      </c>
      <c r="D66" s="328">
        <f>SUM(D67:D74)</f>
        <v>740239</v>
      </c>
      <c r="E66" s="328">
        <f>SUM(E67:E74)</f>
        <v>6550691</v>
      </c>
    </row>
    <row r="67" spans="1:5">
      <c r="A67" s="315">
        <v>91</v>
      </c>
      <c r="B67" s="43" t="s">
        <v>5236</v>
      </c>
      <c r="C67" s="322">
        <f>SUMIF('Unos rashoda i izdataka'!$R$3:$R$504,'A.4 RASHODI FUNK'!$A67,'Unos rashoda i izdataka'!$J$3:$J$504)+SUMIF('Unos rashoda P4'!$T$3:$T$501,'A.4 RASHODI FUNK'!$A67,'Unos rashoda P4'!$H$3:$H$501)</f>
        <v>0</v>
      </c>
      <c r="D67" s="322">
        <f>SUMIF('Unos rashoda i izdataka'!$R$3:$R$504,'A.4 RASHODI FUNK'!$A67,'Unos rashoda i izdataka'!$K$3:$K$504)+SUMIF('Unos rashoda P4'!$T$3:$T$501,'A.4 RASHODI FUNK'!$A67,'Unos rashoda P4'!$I$3:$I$501)</f>
        <v>0</v>
      </c>
      <c r="E67" s="322">
        <f>SUMIF('Unos rashoda i izdataka'!$R$3:$R$504,'A.4 RASHODI FUNK'!$A67,'Unos rashoda i izdataka'!$L$3:$L$504)+SUMIF('Unos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izdataka'!$R$3:$R$504,'A.4 RASHODI FUNK'!$A68,'Unos rashoda i izdataka'!$J$3:$J$504)+SUMIF('Unos rashoda P4'!$T$3:$T$501,'A.4 RASHODI FUNK'!$A68,'Unos rashoda P4'!$H$3:$H$501)</f>
        <v>0</v>
      </c>
      <c r="D68" s="322">
        <f>SUMIF('Unos rashoda i izdataka'!$R$3:$R$504,'A.4 RASHODI FUNK'!$A68,'Unos rashoda i izdataka'!$K$3:$K$504)+SUMIF('Unos rashoda P4'!$T$3:$T$501,'A.4 RASHODI FUNK'!$A68,'Unos rashoda P4'!$I$3:$I$501)</f>
        <v>0</v>
      </c>
      <c r="E68" s="322">
        <f>SUMIF('Unos rashoda i izdataka'!$R$3:$R$504,'A.4 RASHODI FUNK'!$A68,'Unos rashoda i izdataka'!$L$3:$L$504)+SUMIF('Unos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izdataka'!$R$3:$R$504,'A.4 RASHODI FUNK'!$A69,'Unos rashoda i izdataka'!$J$3:$J$504)+SUMIF('Unos rashoda P4'!$T$3:$T$501,'A.4 RASHODI FUNK'!$A69,'Unos rashoda P4'!$H$3:$H$501)</f>
        <v>0</v>
      </c>
      <c r="D69" s="322">
        <f>SUMIF('Unos rashoda i izdataka'!$R$3:$R$504,'A.4 RASHODI FUNK'!$A69,'Unos rashoda i izdataka'!$K$3:$K$504)+SUMIF('Unos rashoda P4'!$T$3:$T$501,'A.4 RASHODI FUNK'!$A69,'Unos rashoda P4'!$I$3:$I$501)</f>
        <v>0</v>
      </c>
      <c r="E69" s="322">
        <f>SUMIF('Unos rashoda i izdataka'!$R$3:$R$504,'A.4 RASHODI FUNK'!$A69,'Unos rashoda i izdataka'!$L$3:$L$504)+SUMIF('Unos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izdataka'!$R$3:$R$504,'A.4 RASHODI FUNK'!$A70,'Unos rashoda i izdataka'!$J$3:$J$504)+SUMIF('Unos rashoda P4'!$T$3:$T$501,'A.4 RASHODI FUNK'!$A70,'Unos rashoda P4'!$H$3:$H$501)</f>
        <v>5810452</v>
      </c>
      <c r="D70" s="322">
        <v>740239</v>
      </c>
      <c r="E70" s="322">
        <v>6550691</v>
      </c>
    </row>
    <row r="71" spans="1:5">
      <c r="A71" s="315">
        <v>95</v>
      </c>
      <c r="B71" s="43" t="s">
        <v>5160</v>
      </c>
      <c r="C71" s="322">
        <f>SUMIF('Unos rashoda i izdataka'!$R$3:$R$504,'A.4 RASHODI FUNK'!$A71,'Unos rashoda i izdataka'!$J$3:$J$504)+SUMIF('Unos rashoda P4'!$T$3:$T$501,'A.4 RASHODI FUNK'!$A71,'Unos rashoda P4'!$H$3:$H$501)</f>
        <v>0</v>
      </c>
      <c r="D71" s="322">
        <f>SUMIF('Unos rashoda i izdataka'!$R$3:$R$504,'A.4 RASHODI FUNK'!$A71,'Unos rashoda i izdataka'!$K$3:$K$504)+SUMIF('Unos rashoda P4'!$T$3:$T$501,'A.4 RASHODI FUNK'!$A71,'Unos rashoda P4'!$I$3:$I$501)</f>
        <v>0</v>
      </c>
      <c r="E71" s="322">
        <f>SUMIF('Unos rashoda i izdataka'!$R$3:$R$504,'A.4 RASHODI FUNK'!$A71,'Unos rashoda i izdataka'!$L$3:$L$504)+SUMIF('Unos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izdataka'!$R$3:$R$504,'A.4 RASHODI FUNK'!$A72,'Unos rashoda i izdataka'!$J$3:$J$504)+SUMIF('Unos rashoda P4'!$T$3:$T$501,'A.4 RASHODI FUNK'!$A72,'Unos rashoda P4'!$H$3:$H$501)</f>
        <v>0</v>
      </c>
      <c r="D72" s="322">
        <f>SUMIF('Unos rashoda i izdataka'!$R$3:$R$504,'A.4 RASHODI FUNK'!$A72,'Unos rashoda i izdataka'!$K$3:$K$504)+SUMIF('Unos rashoda P4'!$T$3:$T$501,'A.4 RASHODI FUNK'!$A72,'Unos rashoda P4'!$I$3:$I$501)</f>
        <v>0</v>
      </c>
      <c r="E72" s="322">
        <f>SUMIF('Unos rashoda i izdataka'!$R$3:$R$504,'A.4 RASHODI FUNK'!$A72,'Unos rashoda i izdataka'!$L$3:$L$504)+SUMIF('Unos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izdataka'!$R$3:$R$504,'A.4 RASHODI FUNK'!$A73,'Unos rashoda i izdataka'!$J$3:$J$504)+SUMIF('Unos rashoda P4'!$T$3:$T$501,'A.4 RASHODI FUNK'!$A73,'Unos rashoda P4'!$H$3:$H$501)</f>
        <v>0</v>
      </c>
      <c r="D73" s="322">
        <f>SUMIF('Unos rashoda i izdataka'!$R$3:$R$504,'A.4 RASHODI FUNK'!$A73,'Unos rashoda i izdataka'!$K$3:$K$504)+SUMIF('Unos rashoda P4'!$T$3:$T$501,'A.4 RASHODI FUNK'!$A73,'Unos rashoda P4'!$I$3:$I$501)</f>
        <v>0</v>
      </c>
      <c r="E73" s="322">
        <f>SUMIF('Unos rashoda i izdataka'!$R$3:$R$504,'A.4 RASHODI FUNK'!$A73,'Unos rashoda i izdataka'!$L$3:$L$504)+SUMIF('Unos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izdataka'!$R$3:$R$504,'A.4 RASHODI FUNK'!$A74,'Unos rashoda i izdataka'!$J$3:$J$504)+SUMIF('Unos rashoda P4'!$T$3:$T$501,'A.4 RASHODI FUNK'!$A74,'Unos rashoda P4'!$H$3:$H$501)</f>
        <v>0</v>
      </c>
      <c r="D74" s="322">
        <f>SUMIF('Unos rashoda i izdataka'!$R$3:$R$504,'A.4 RASHODI FUNK'!$A74,'Unos rashoda i izdataka'!$K$3:$K$504)+SUMIF('Unos rashoda P4'!$T$3:$T$501,'A.4 RASHODI FUNK'!$A74,'Unos rashoda P4'!$I$3:$I$501)</f>
        <v>0</v>
      </c>
      <c r="E74" s="322">
        <f>SUMIF('Unos rashoda i izdataka'!$R$3:$R$504,'A.4 RASHODI FUNK'!$A74,'Unos rashoda i izdataka'!$L$3:$L$504)+SUMIF('Unos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izdataka'!$R$3:$R$504,'A.4 RASHODI FUNK'!$A76,'Unos rashoda i izdataka'!$J$3:$J$504)+SUMIF('Unos rashoda P4'!$T$3:$T$501,'A.4 RASHODI FUNK'!$A76,'Unos rashoda P4'!$H$3:$H$501)</f>
        <v>0</v>
      </c>
      <c r="D76" s="322">
        <f>SUMIF('Unos rashoda i izdataka'!$R$3:$R$504,'A.4 RASHODI FUNK'!$A76,'Unos rashoda i izdataka'!$K$3:$K$504)+SUMIF('Unos rashoda P4'!$T$3:$T$501,'A.4 RASHODI FUNK'!$A76,'Unos rashoda P4'!$I$3:$I$501)</f>
        <v>0</v>
      </c>
      <c r="E76" s="322">
        <f>SUMIF('Unos rashoda i izdataka'!$R$3:$R$504,'A.4 RASHODI FUNK'!$A76,'Unos rashoda i izdataka'!$L$3:$L$504)+SUMIF('Unos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izdataka'!$R$3:$R$504,'A.4 RASHODI FUNK'!$A77,'Unos rashoda i izdataka'!$J$3:$J$504)+SUMIF('Unos rashoda P4'!$T$3:$T$501,'A.4 RASHODI FUNK'!$A77,'Unos rashoda P4'!$H$3:$H$501)</f>
        <v>0</v>
      </c>
      <c r="D77" s="322">
        <f>SUMIF('Unos rashoda i izdataka'!$R$3:$R$504,'A.4 RASHODI FUNK'!$A77,'Unos rashoda i izdataka'!$K$3:$K$504)+SUMIF('Unos rashoda P4'!$T$3:$T$501,'A.4 RASHODI FUNK'!$A77,'Unos rashoda P4'!$I$3:$I$501)</f>
        <v>0</v>
      </c>
      <c r="E77" s="322">
        <f>SUMIF('Unos rashoda i izdataka'!$R$3:$R$504,'A.4 RASHODI FUNK'!$A77,'Unos rashoda i izdataka'!$L$3:$L$504)+SUMIF('Unos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izdataka'!$R$3:$R$504,'A.4 RASHODI FUNK'!$A78,'Unos rashoda i izdataka'!$J$3:$J$504)+SUMIF('Unos rashoda P4'!$T$3:$T$501,'A.4 RASHODI FUNK'!$A78,'Unos rashoda P4'!$H$3:$H$501)</f>
        <v>0</v>
      </c>
      <c r="D78" s="322">
        <f>SUMIF('Unos rashoda i izdataka'!$R$3:$R$504,'A.4 RASHODI FUNK'!$A78,'Unos rashoda i izdataka'!$K$3:$K$504)+SUMIF('Unos rashoda P4'!$T$3:$T$501,'A.4 RASHODI FUNK'!$A78,'Unos rashoda P4'!$I$3:$I$501)</f>
        <v>0</v>
      </c>
      <c r="E78" s="322">
        <f>SUMIF('Unos rashoda i izdataka'!$R$3:$R$504,'A.4 RASHODI FUNK'!$A78,'Unos rashoda i izdataka'!$L$3:$L$504)+SUMIF('Unos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izdataka'!$R$3:$R$504,'A.4 RASHODI FUNK'!$A79,'Unos rashoda i izdataka'!$J$3:$J$504)+SUMIF('Unos rashoda P4'!$T$3:$T$501,'A.4 RASHODI FUNK'!$A79,'Unos rashoda P4'!$H$3:$H$501)</f>
        <v>0</v>
      </c>
      <c r="D79" s="322">
        <f>SUMIF('Unos rashoda i izdataka'!$R$3:$R$504,'A.4 RASHODI FUNK'!$A79,'Unos rashoda i izdataka'!$K$3:$K$504)+SUMIF('Unos rashoda P4'!$T$3:$T$501,'A.4 RASHODI FUNK'!$A79,'Unos rashoda P4'!$I$3:$I$501)</f>
        <v>0</v>
      </c>
      <c r="E79" s="322">
        <f>SUMIF('Unos rashoda i izdataka'!$R$3:$R$504,'A.4 RASHODI FUNK'!$A79,'Unos rashoda i izdataka'!$L$3:$L$504)+SUMIF('Unos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izdataka'!$R$3:$R$504,'A.4 RASHODI FUNK'!$A80,'Unos rashoda i izdataka'!$J$3:$J$504)+SUMIF('Unos rashoda P4'!$T$3:$T$501,'A.4 RASHODI FUNK'!$A80,'Unos rashoda P4'!$H$3:$H$501)</f>
        <v>0</v>
      </c>
      <c r="D80" s="322">
        <f>SUMIF('Unos rashoda i izdataka'!$R$3:$R$504,'A.4 RASHODI FUNK'!$A80,'Unos rashoda i izdataka'!$K$3:$K$504)+SUMIF('Unos rashoda P4'!$T$3:$T$501,'A.4 RASHODI FUNK'!$A80,'Unos rashoda P4'!$I$3:$I$501)</f>
        <v>0</v>
      </c>
      <c r="E80" s="322">
        <f>SUMIF('Unos rashoda i izdataka'!$R$3:$R$504,'A.4 RASHODI FUNK'!$A80,'Unos rashoda i izdataka'!$L$3:$L$504)+SUMIF('Unos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izdataka'!$R$3:$R$504,'A.4 RASHODI FUNK'!$A81,'Unos rashoda i izdataka'!$J$3:$J$504)+SUMIF('Unos rashoda P4'!$T$3:$T$501,'A.4 RASHODI FUNK'!$A81,'Unos rashoda P4'!$H$3:$H$501)</f>
        <v>0</v>
      </c>
      <c r="D81" s="322">
        <f>SUMIF('Unos rashoda i izdataka'!$R$3:$R$504,'A.4 RASHODI FUNK'!$A81,'Unos rashoda i izdataka'!$K$3:$K$504)+SUMIF('Unos rashoda P4'!$T$3:$T$501,'A.4 RASHODI FUNK'!$A81,'Unos rashoda P4'!$I$3:$I$501)</f>
        <v>0</v>
      </c>
      <c r="E81" s="322">
        <f>SUMIF('Unos rashoda i izdataka'!$R$3:$R$504,'A.4 RASHODI FUNK'!$A81,'Unos rashoda i izdataka'!$L$3:$L$504)+SUMIF('Unos rashoda P4'!$T$3:$T$501,'A.4 RASHODI FUNK'!$A81,'Unos rashoda P4'!$J$3:$J$501)</f>
        <v>0</v>
      </c>
    </row>
    <row r="82" spans="1:5" ht="27.6">
      <c r="A82" s="315">
        <v>107</v>
      </c>
      <c r="B82" s="43" t="s">
        <v>5247</v>
      </c>
      <c r="C82" s="322">
        <f>SUMIF('Unos rashoda i izdataka'!$R$3:$R$504,'A.4 RASHODI FUNK'!$A82,'Unos rashoda i izdataka'!$J$3:$J$504)+SUMIF('Unos rashoda P4'!$T$3:$T$501,'A.4 RASHODI FUNK'!$A82,'Unos rashoda P4'!$H$3:$H$501)</f>
        <v>0</v>
      </c>
      <c r="D82" s="322">
        <f>SUMIF('Unos rashoda i izdataka'!$R$3:$R$504,'A.4 RASHODI FUNK'!$A82,'Unos rashoda i izdataka'!$K$3:$K$504)+SUMIF('Unos rashoda P4'!$T$3:$T$501,'A.4 RASHODI FUNK'!$A82,'Unos rashoda P4'!$I$3:$I$501)</f>
        <v>0</v>
      </c>
      <c r="E82" s="322">
        <f>SUMIF('Unos rashoda i izdataka'!$R$3:$R$504,'A.4 RASHODI FUNK'!$A82,'Unos rashoda i izdataka'!$L$3:$L$504)+SUMIF('Unos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izdataka'!$R$3:$R$504,'A.4 RASHODI FUNK'!$A83,'Unos rashoda i izdataka'!$J$3:$J$504)+SUMIF('Unos rashoda P4'!$T$3:$T$501,'A.4 RASHODI FUNK'!$A83,'Unos rashoda P4'!$H$3:$H$501)</f>
        <v>0</v>
      </c>
      <c r="D83" s="322">
        <f>SUMIF('Unos rashoda i izdataka'!$R$3:$R$504,'A.4 RASHODI FUNK'!$A83,'Unos rashoda i izdataka'!$K$3:$K$504)+SUMIF('Unos rashoda P4'!$T$3:$T$501,'A.4 RASHODI FUNK'!$A83,'Unos rashoda P4'!$I$3:$I$501)</f>
        <v>0</v>
      </c>
      <c r="E83" s="322">
        <f>SUMIF('Unos rashoda i izdataka'!$R$3:$R$504,'A.4 RASHODI FUNK'!$A83,'Unos rashoda i izdataka'!$L$3:$L$504)+SUMIF('Unos rashoda P4'!$T$3:$T$501,'A.4 RASHODI FUNK'!$A83,'Unos rashoda P4'!$J$3:$J$501)</f>
        <v>0</v>
      </c>
    </row>
    <row r="84" spans="1:5" ht="27.6">
      <c r="A84" s="315">
        <v>109</v>
      </c>
      <c r="B84" s="43" t="s">
        <v>5249</v>
      </c>
      <c r="C84" s="322">
        <f>SUMIF('Unos rashoda i izdataka'!$R$3:$R$504,'A.4 RASHODI FUNK'!$A84,'Unos rashoda i izdataka'!$J$3:$J$504)+SUMIF('Unos rashoda P4'!$T$3:$T$501,'A.4 RASHODI FUNK'!$A84,'Unos rashoda P4'!$H$3:$H$501)</f>
        <v>0</v>
      </c>
      <c r="D84" s="322">
        <f>SUMIF('Unos rashoda i izdataka'!$R$3:$R$504,'A.4 RASHODI FUNK'!$A84,'Unos rashoda i izdataka'!$K$3:$K$504)+SUMIF('Unos rashoda P4'!$T$3:$T$501,'A.4 RASHODI FUNK'!$A84,'Unos rashoda P4'!$I$3:$I$501)</f>
        <v>0</v>
      </c>
      <c r="E84" s="322">
        <f>SUMIF('Unos rashoda i izdataka'!$R$3:$R$504,'A.4 RASHODI FUNK'!$A84,'Unos rashoda i izdataka'!$L$3:$L$504)+SUMIF('Unos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List1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2023-11-29T07:51:19Z</cp:lastPrinted>
  <dcterms:created xsi:type="dcterms:W3CDTF">2018-09-10T07:36:17Z</dcterms:created>
  <dcterms:modified xsi:type="dcterms:W3CDTF">2024-12-05T10:27:56Z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